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sh Flow" sheetId="1" r:id="rId4"/>
    <sheet state="visible" name="Investment Plan" sheetId="2" r:id="rId5"/>
    <sheet state="visible" name="Rent" sheetId="3" r:id="rId6"/>
    <sheet state="visible" name="Salaries &amp; Benefits" sheetId="4" r:id="rId7"/>
    <sheet state="visible" name="Advertising" sheetId="5" r:id="rId8"/>
    <sheet state="visible" name="Insurance" sheetId="6" r:id="rId9"/>
    <sheet state="visible" name="Utilities" sheetId="7" r:id="rId10"/>
    <sheet state="visible" name="Taxes" sheetId="8" r:id="rId11"/>
    <sheet state="visible" name="Laundry" sheetId="9" r:id="rId12"/>
    <sheet state="visible" name="Office Support" sheetId="10" r:id="rId13"/>
    <sheet state="visible" name="Capital" sheetId="11" r:id="rId14"/>
    <sheet state="visible" name="Supplies" sheetId="12" r:id="rId15"/>
  </sheets>
  <definedNames/>
  <calcPr/>
  <extLst>
    <ext uri="GoogleSheetsCustomDataVersion1">
      <go:sheetsCustomData xmlns:go="http://customooxmlschemas.google.com/" r:id="rId16" roundtripDataSignature="AMtx7mjgw+ULs2gC6S9CAozl0TjvLLkx5A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15">
      <text>
        <t xml:space="preserve">======
ID#AAAAVtso204
Bontrager, Chad    (2022-03-17 00:33:14)
calculated at 5% of the value of assets in operation</t>
      </text>
    </comment>
  </commentList>
  <extLst>
    <ext uri="GoogleSheetsCustomDataVersion1">
      <go:sheetsCustomData xmlns:go="http://customooxmlschemas.google.com/" r:id="rId1" roundtripDataSignature="AMtx7mhFIP3d6sWdh2Rk8wxDLtjcnRe5ng=="/>
    </ext>
  </extL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3">
      <text>
        <t xml:space="preserve">======
ID#AAAAVtso208
Bontrager, Chad    (2022-03-17 00:33:14)
includes water, sewer, electricity</t>
      </text>
    </comment>
    <comment authorId="0" ref="A2">
      <text>
        <t xml:space="preserve">======
ID#AAAAVtso200
Bontrager, Chad    (2022-03-17 00:33:14)
includes internet</t>
      </text>
    </comment>
  </commentList>
  <extLst>
    <ext uri="GoogleSheetsCustomDataVersion1">
      <go:sheetsCustomData xmlns:go="http://customooxmlschemas.google.com/" r:id="rId1" roundtripDataSignature="AMtx7mh1dBH/9QROjMCFWkCS9s9/Zf7HPA=="/>
    </ext>
  </extLst>
</comments>
</file>

<file path=xl/sharedStrings.xml><?xml version="1.0" encoding="utf-8"?>
<sst xmlns="http://schemas.openxmlformats.org/spreadsheetml/2006/main" count="153" uniqueCount="130">
  <si>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</si>
  <si>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</si>
  <si>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</si>
  <si>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</si>
  <si>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</si>
  <si>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</si>
  <si>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</si>
  <si>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</si>
  <si>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</si>
  <si>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</si>
  <si>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</si>
  <si>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</si>
  <si>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</si>
  <si>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Gross Sales</t>
  </si>
  <si>
    <t>Cost of Goods Sold</t>
  </si>
  <si>
    <t>Gross Margin</t>
  </si>
  <si>
    <t>Expenses</t>
  </si>
  <si>
    <t>Advertising</t>
  </si>
  <si>
    <t>Depreciation</t>
  </si>
  <si>
    <t>Insurance  (operating)</t>
  </si>
  <si>
    <t>Laundry</t>
  </si>
  <si>
    <t>Office Misc.</t>
  </si>
  <si>
    <t>Office Support</t>
  </si>
  <si>
    <t>Repairs and Maintenance</t>
  </si>
  <si>
    <t>Salaries and Benefits</t>
  </si>
  <si>
    <t>Supplies</t>
  </si>
  <si>
    <t>Loan Pmt</t>
  </si>
  <si>
    <t>Rent</t>
  </si>
  <si>
    <t>Taxes</t>
  </si>
  <si>
    <t>Utilities</t>
  </si>
  <si>
    <t>Total Expenses</t>
  </si>
  <si>
    <t>Profit Margin</t>
  </si>
  <si>
    <t>Profit</t>
  </si>
  <si>
    <t>Employee Profit Sharing</t>
  </si>
  <si>
    <t>Capital Reinvestment 20%</t>
  </si>
  <si>
    <t>Distributions</t>
  </si>
  <si>
    <t>To be divided btwn investors</t>
  </si>
  <si>
    <t>Distribution per share</t>
  </si>
  <si>
    <t>1st Year 100%</t>
  </si>
  <si>
    <t>1st Year 50%</t>
  </si>
  <si>
    <t>1st Year 25%</t>
  </si>
  <si>
    <t>First Year Expenses</t>
  </si>
  <si>
    <t>First Year Capital</t>
  </si>
  <si>
    <t>Number of Shares</t>
  </si>
  <si>
    <t>Cost Per Share</t>
  </si>
  <si>
    <t>10% of Shares</t>
  </si>
  <si>
    <t>20% of Shares</t>
  </si>
  <si>
    <t>25% of Shares</t>
  </si>
  <si>
    <t>ROI</t>
  </si>
  <si>
    <t>Yr1</t>
  </si>
  <si>
    <t>Yr2</t>
  </si>
  <si>
    <t>Yr3</t>
  </si>
  <si>
    <t>Rate/sqft</t>
  </si>
  <si>
    <t>Total sqft</t>
  </si>
  <si>
    <t>Monthly</t>
  </si>
  <si>
    <t>Purchase Price</t>
  </si>
  <si>
    <t>Interest Rate</t>
  </si>
  <si>
    <t>Years</t>
  </si>
  <si>
    <t>Monthly Pmt</t>
  </si>
  <si>
    <t>Employee</t>
  </si>
  <si>
    <t>Hours</t>
  </si>
  <si>
    <t>Rate</t>
  </si>
  <si>
    <t>Benefits (25%)</t>
  </si>
  <si>
    <t>Profit Sharing</t>
  </si>
  <si>
    <t>Manager</t>
  </si>
  <si>
    <t>Salary</t>
  </si>
  <si>
    <t>Asst. Manager</t>
  </si>
  <si>
    <t>Butcher</t>
  </si>
  <si>
    <t>Baker</t>
  </si>
  <si>
    <t>10% of sales at Rons</t>
  </si>
  <si>
    <t>Part Time</t>
  </si>
  <si>
    <t>-</t>
  </si>
  <si>
    <t>Total Salary and Benefits</t>
  </si>
  <si>
    <t>% of sales adder</t>
  </si>
  <si>
    <t>Media</t>
  </si>
  <si>
    <t>Per year</t>
  </si>
  <si>
    <t>Newspaper</t>
  </si>
  <si>
    <t>TV</t>
  </si>
  <si>
    <t>Radio</t>
  </si>
  <si>
    <t>Periodicals</t>
  </si>
  <si>
    <t>Social Media</t>
  </si>
  <si>
    <t>Insurance</t>
  </si>
  <si>
    <t>Building</t>
  </si>
  <si>
    <t>Liability</t>
  </si>
  <si>
    <t>Work Comp</t>
  </si>
  <si>
    <t>Refrigeration</t>
  </si>
  <si>
    <t>Utility</t>
  </si>
  <si>
    <t>Monthly Rate</t>
  </si>
  <si>
    <t>Annual Rate</t>
  </si>
  <si>
    <t>Telephone</t>
  </si>
  <si>
    <t>4% at Rons</t>
  </si>
  <si>
    <t>Electricity</t>
  </si>
  <si>
    <t>Natural Gas</t>
  </si>
  <si>
    <t>Trash</t>
  </si>
  <si>
    <t>% of sales</t>
  </si>
  <si>
    <t>Property</t>
  </si>
  <si>
    <t>in rent</t>
  </si>
  <si>
    <t>Payroll</t>
  </si>
  <si>
    <t>Personal property tax was 3.3%</t>
  </si>
  <si>
    <t>Pieces</t>
  </si>
  <si>
    <t>Weekly Total</t>
  </si>
  <si>
    <t>Annual Total</t>
  </si>
  <si>
    <t>Aprons, butcher coats</t>
  </si>
  <si>
    <t>Support</t>
  </si>
  <si>
    <t>Annual Cost</t>
  </si>
  <si>
    <t>Accounting</t>
  </si>
  <si>
    <t>IT</t>
  </si>
  <si>
    <t>HR</t>
  </si>
  <si>
    <t>Legal</t>
  </si>
  <si>
    <t>Capital Item</t>
  </si>
  <si>
    <t>Cost</t>
  </si>
  <si>
    <t>Annual Depreciation</t>
  </si>
  <si>
    <t>Collateral</t>
  </si>
  <si>
    <t>Equipment</t>
  </si>
  <si>
    <t>AWG Membership</t>
  </si>
  <si>
    <t>Point of Sale System</t>
  </si>
  <si>
    <t>Inventory</t>
  </si>
  <si>
    <t>Remodel</t>
  </si>
  <si>
    <t>Working Capital</t>
  </si>
  <si>
    <t>Cash Investment</t>
  </si>
  <si>
    <t>Gap</t>
  </si>
  <si>
    <t>Loan Amt</t>
  </si>
  <si>
    <t>Number Years</t>
  </si>
  <si>
    <t>Payment</t>
  </si>
  <si>
    <t>Quantity</t>
  </si>
  <si>
    <t>Total Cost</t>
  </si>
  <si>
    <t>Freight</t>
  </si>
  <si>
    <t>Credit Card Fees</t>
  </si>
  <si>
    <t>1.26% for freight</t>
  </si>
  <si>
    <t>.49% credit card fees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</si>
</sst>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&quot;$&quot;#,##0"/>
    <numFmt numFmtId="165" formatCode="&quot;$&quot;#,##0.00"/>
    <numFmt numFmtId="166" formatCode="&quot;$&quot;#,##0_);[Red]\(&quot;$&quot;#,##0\)"/>
    <numFmt numFmtId="167" formatCode="0.0%"/>
    <numFmt numFmtId="168" formatCode="&quot;$&quot;#,##0.00_);[Red]\(&quot;$&quot;#,##0.00\)"/>
    <numFmt numFmtId="169" formatCode="&quot;$&quot;#,##0.0_);[Red]\(&quot;$&quot;#,##0.0\)"/>
  </numFmts>
  <fonts count="5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color theme="1"/>
      <name val="Calibri"/>
      <scheme val="minor"/>
    </font>
    <font>
      <b/>
      <u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3">
    <border/>
    <border>
      <bottom style="medium">
        <color rgb="FF000000"/>
      </bottom>
    </border>
    <border>
      <bottom style="double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2" numFmtId="0" xfId="0" applyAlignment="1" applyBorder="1" applyFont="1">
      <alignment horizontal="center"/>
    </xf>
    <xf borderId="0" fillId="0" fontId="2" numFmtId="0" xfId="0" applyFont="1"/>
    <xf borderId="0" fillId="0" fontId="1" numFmtId="164" xfId="0" applyAlignment="1" applyFont="1" applyNumberFormat="1">
      <alignment horizontal="center"/>
    </xf>
    <xf borderId="0" fillId="0" fontId="1" numFmtId="164" xfId="0" applyFont="1" applyNumberFormat="1"/>
    <xf borderId="0" fillId="0" fontId="3" numFmtId="0" xfId="0" applyFont="1"/>
    <xf borderId="0" fillId="0" fontId="4" numFmtId="0" xfId="0" applyFont="1"/>
    <xf borderId="1" fillId="0" fontId="1" numFmtId="164" xfId="0" applyAlignment="1" applyBorder="1" applyFont="1" applyNumberFormat="1">
      <alignment horizontal="center"/>
    </xf>
    <xf borderId="2" fillId="0" fontId="1" numFmtId="164" xfId="0" applyAlignment="1" applyBorder="1" applyFont="1" applyNumberFormat="1">
      <alignment horizontal="center"/>
    </xf>
    <xf borderId="0" fillId="0" fontId="1" numFmtId="9" xfId="0" applyAlignment="1" applyFont="1" applyNumberFormat="1">
      <alignment horizontal="center"/>
    </xf>
    <xf borderId="0" fillId="0" fontId="1" numFmtId="165" xfId="0" applyFont="1" applyNumberFormat="1"/>
    <xf borderId="0" fillId="0" fontId="1" numFmtId="166" xfId="0" applyFont="1" applyNumberFormat="1"/>
    <xf borderId="0" fillId="0" fontId="1" numFmtId="167" xfId="0" applyFont="1" applyNumberFormat="1"/>
    <xf borderId="0" fillId="0" fontId="1" numFmtId="168" xfId="0" applyFont="1" applyNumberFormat="1"/>
    <xf borderId="0" fillId="0" fontId="1" numFmtId="166" xfId="0" applyAlignment="1" applyFont="1" applyNumberFormat="1">
      <alignment horizontal="center"/>
    </xf>
    <xf borderId="0" fillId="0" fontId="1" numFmtId="168" xfId="0" applyAlignment="1" applyFont="1" applyNumberFormat="1">
      <alignment horizontal="center"/>
    </xf>
    <xf borderId="0" fillId="0" fontId="1" numFmtId="169" xfId="0" applyFont="1" applyNumberFormat="1"/>
    <xf borderId="0" fillId="0" fontId="1" numFmtId="9" xfId="0" applyFont="1" applyNumberForma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2.v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57"/>
    <col customWidth="1" min="2" max="3" width="9.71"/>
    <col customWidth="1" min="4" max="9" width="9.29"/>
    <col customWidth="1" min="10" max="10" width="10.43"/>
    <col customWidth="1" min="11" max="11" width="9.29"/>
    <col customWidth="1" min="12" max="12" width="9.71"/>
    <col customWidth="1" min="13" max="13" width="9.57"/>
    <col customWidth="1" min="14" max="14" width="11.86"/>
    <col customWidth="1" min="15" max="15" width="11.0"/>
    <col customWidth="1" min="16" max="26" width="8.71"/>
  </cols>
  <sheetData>
    <row r="1" ht="14.2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4.2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4.25" customHeight="1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</row>
    <row r="4" ht="14.25" customHeight="1">
      <c r="A4" s="3" t="s">
        <v>13</v>
      </c>
      <c r="B4" s="4">
        <f>40000*52/365*31</f>
        <v>176657.5342</v>
      </c>
      <c r="C4" s="4">
        <f>40000*52/365*28</f>
        <v>159561.6438</v>
      </c>
      <c r="D4" s="4">
        <f>55000*52/365*31</f>
        <v>242904.1096</v>
      </c>
      <c r="E4" s="4">
        <f>60000*52/365*30</f>
        <v>256438.3562</v>
      </c>
      <c r="F4" s="4">
        <f>70000*52/365*31</f>
        <v>309150.6849</v>
      </c>
      <c r="G4" s="4">
        <f>75000*52/365*30</f>
        <v>320547.9452</v>
      </c>
      <c r="H4" s="4">
        <f>75000*52/365*31</f>
        <v>331232.8767</v>
      </c>
      <c r="I4" s="4">
        <f t="shared" ref="I4:J4" si="1">65000*52/12</f>
        <v>281666.6667</v>
      </c>
      <c r="J4" s="4">
        <f t="shared" si="1"/>
        <v>281666.6667</v>
      </c>
      <c r="K4" s="4">
        <f>70000*52/365*31</f>
        <v>309150.6849</v>
      </c>
      <c r="L4" s="4">
        <f>80000*52/365*30</f>
        <v>341917.8082</v>
      </c>
      <c r="M4" s="4">
        <f>85000*52/365*31</f>
        <v>375397.2603</v>
      </c>
      <c r="N4" s="4">
        <f t="shared" ref="N4:N5" si="3">SUM(B4:M4)</f>
        <v>3386292.237</v>
      </c>
      <c r="O4" s="5"/>
    </row>
    <row r="5" ht="14.25" customHeight="1">
      <c r="A5" s="3" t="s">
        <v>14</v>
      </c>
      <c r="B5" s="4">
        <f t="shared" ref="B5:M5" si="2">0.68*B4</f>
        <v>120127.1233</v>
      </c>
      <c r="C5" s="4">
        <f t="shared" si="2"/>
        <v>108501.9178</v>
      </c>
      <c r="D5" s="4">
        <f t="shared" si="2"/>
        <v>165174.7945</v>
      </c>
      <c r="E5" s="4">
        <f t="shared" si="2"/>
        <v>174378.0822</v>
      </c>
      <c r="F5" s="4">
        <f t="shared" si="2"/>
        <v>210222.4658</v>
      </c>
      <c r="G5" s="4">
        <f t="shared" si="2"/>
        <v>217972.6027</v>
      </c>
      <c r="H5" s="4">
        <f t="shared" si="2"/>
        <v>225238.3562</v>
      </c>
      <c r="I5" s="4">
        <f t="shared" si="2"/>
        <v>191533.3333</v>
      </c>
      <c r="J5" s="4">
        <f t="shared" si="2"/>
        <v>191533.3333</v>
      </c>
      <c r="K5" s="4">
        <f t="shared" si="2"/>
        <v>210222.4658</v>
      </c>
      <c r="L5" s="4">
        <f t="shared" si="2"/>
        <v>232504.1096</v>
      </c>
      <c r="M5" s="4">
        <f t="shared" si="2"/>
        <v>255270.137</v>
      </c>
      <c r="N5" s="4">
        <f t="shared" si="3"/>
        <v>2302678.721</v>
      </c>
      <c r="O5" s="5"/>
    </row>
    <row r="6" ht="14.25" customHeight="1">
      <c r="A6" s="6" t="s">
        <v>15</v>
      </c>
      <c r="B6" s="4">
        <f t="shared" ref="B6:N6" si="4">B4-B5</f>
        <v>56530.41096</v>
      </c>
      <c r="C6" s="4">
        <f t="shared" si="4"/>
        <v>51059.72603</v>
      </c>
      <c r="D6" s="4">
        <f t="shared" si="4"/>
        <v>77729.31507</v>
      </c>
      <c r="E6" s="4">
        <f t="shared" si="4"/>
        <v>82060.27397</v>
      </c>
      <c r="F6" s="4">
        <f t="shared" si="4"/>
        <v>98928.21918</v>
      </c>
      <c r="G6" s="4">
        <f t="shared" si="4"/>
        <v>102575.3425</v>
      </c>
      <c r="H6" s="4">
        <f t="shared" si="4"/>
        <v>105994.5205</v>
      </c>
      <c r="I6" s="4">
        <f t="shared" si="4"/>
        <v>90133.33333</v>
      </c>
      <c r="J6" s="4">
        <f t="shared" si="4"/>
        <v>90133.33333</v>
      </c>
      <c r="K6" s="4">
        <f t="shared" si="4"/>
        <v>98928.21918</v>
      </c>
      <c r="L6" s="4">
        <f t="shared" si="4"/>
        <v>109413.6986</v>
      </c>
      <c r="M6" s="4">
        <f t="shared" si="4"/>
        <v>120127.1233</v>
      </c>
      <c r="N6" s="4">
        <f t="shared" si="4"/>
        <v>1083613.516</v>
      </c>
      <c r="O6" s="5"/>
      <c r="P6" s="5"/>
    </row>
    <row r="7" ht="14.25" customHeight="1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ht="14.25" customHeight="1">
      <c r="A8" s="7" t="s">
        <v>16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ht="14.25" customHeight="1">
      <c r="A9" s="6" t="s">
        <v>17</v>
      </c>
      <c r="B9" s="4">
        <f t="shared" ref="B9:M9" si="5">0.01*B4</f>
        <v>1766.575342</v>
      </c>
      <c r="C9" s="4">
        <f t="shared" si="5"/>
        <v>1595.616438</v>
      </c>
      <c r="D9" s="4">
        <f t="shared" si="5"/>
        <v>2429.041096</v>
      </c>
      <c r="E9" s="4">
        <f t="shared" si="5"/>
        <v>2564.383562</v>
      </c>
      <c r="F9" s="4">
        <f t="shared" si="5"/>
        <v>3091.506849</v>
      </c>
      <c r="G9" s="4">
        <f t="shared" si="5"/>
        <v>3205.479452</v>
      </c>
      <c r="H9" s="4">
        <f t="shared" si="5"/>
        <v>3312.328767</v>
      </c>
      <c r="I9" s="4">
        <f t="shared" si="5"/>
        <v>2816.666667</v>
      </c>
      <c r="J9" s="4">
        <f t="shared" si="5"/>
        <v>2816.666667</v>
      </c>
      <c r="K9" s="4">
        <f t="shared" si="5"/>
        <v>3091.506849</v>
      </c>
      <c r="L9" s="4">
        <f t="shared" si="5"/>
        <v>3419.178082</v>
      </c>
      <c r="M9" s="4">
        <f t="shared" si="5"/>
        <v>3753.972603</v>
      </c>
      <c r="N9" s="4">
        <f t="shared" ref="N9:N21" si="6">SUM(B9:M9)</f>
        <v>33862.92237</v>
      </c>
    </row>
    <row r="10" ht="14.25" customHeight="1">
      <c r="A10" s="6" t="s">
        <v>18</v>
      </c>
      <c r="B10" s="4">
        <f>Capital!$C$12/12</f>
        <v>4637.5</v>
      </c>
      <c r="C10" s="4">
        <f>Capital!$C$12/12</f>
        <v>4637.5</v>
      </c>
      <c r="D10" s="4">
        <f>Capital!$C$12/12</f>
        <v>4637.5</v>
      </c>
      <c r="E10" s="4">
        <f>Capital!$C$12/12</f>
        <v>4637.5</v>
      </c>
      <c r="F10" s="4">
        <f>Capital!$C$12/12</f>
        <v>4637.5</v>
      </c>
      <c r="G10" s="4">
        <f>Capital!$C$12/12</f>
        <v>4637.5</v>
      </c>
      <c r="H10" s="4">
        <f>Capital!$C$12/12</f>
        <v>4637.5</v>
      </c>
      <c r="I10" s="4">
        <f>Capital!$C$12/12</f>
        <v>4637.5</v>
      </c>
      <c r="J10" s="4">
        <f>Capital!$C$12/12</f>
        <v>4637.5</v>
      </c>
      <c r="K10" s="4">
        <f>Capital!$C$12/12</f>
        <v>4637.5</v>
      </c>
      <c r="L10" s="4">
        <f>Capital!$C$12/12</f>
        <v>4637.5</v>
      </c>
      <c r="M10" s="4">
        <f>Capital!$C$12/12</f>
        <v>4637.5</v>
      </c>
      <c r="N10" s="4">
        <f t="shared" si="6"/>
        <v>55650</v>
      </c>
    </row>
    <row r="11" ht="14.25" customHeight="1">
      <c r="A11" s="6" t="s">
        <v>19</v>
      </c>
      <c r="B11" s="4">
        <f>Insurance!$B$7/12</f>
        <v>4355.333333</v>
      </c>
      <c r="C11" s="4">
        <f>Insurance!$B$7/12</f>
        <v>4355.333333</v>
      </c>
      <c r="D11" s="4">
        <f>Insurance!$B$7/12</f>
        <v>4355.333333</v>
      </c>
      <c r="E11" s="4">
        <f>Insurance!$B$7/12</f>
        <v>4355.333333</v>
      </c>
      <c r="F11" s="4">
        <f>Insurance!$B$7/12</f>
        <v>4355.333333</v>
      </c>
      <c r="G11" s="4">
        <f>Insurance!$B$7/12</f>
        <v>4355.333333</v>
      </c>
      <c r="H11" s="4">
        <f>Insurance!$B$7/12</f>
        <v>4355.333333</v>
      </c>
      <c r="I11" s="4">
        <f>Insurance!$B$7/12</f>
        <v>4355.333333</v>
      </c>
      <c r="J11" s="4">
        <f>Insurance!$B$7/12</f>
        <v>4355.333333</v>
      </c>
      <c r="K11" s="4">
        <f>Insurance!$B$7/12</f>
        <v>4355.333333</v>
      </c>
      <c r="L11" s="4">
        <f>Insurance!$B$7/12</f>
        <v>4355.333333</v>
      </c>
      <c r="M11" s="4">
        <f>Insurance!$B$7/12</f>
        <v>4355.333333</v>
      </c>
      <c r="N11" s="4">
        <f t="shared" si="6"/>
        <v>52264</v>
      </c>
    </row>
    <row r="12" ht="14.25" customHeight="1">
      <c r="A12" s="6" t="s">
        <v>20</v>
      </c>
      <c r="B12" s="4">
        <f>Laundry!$E$4/12</f>
        <v>216.6666667</v>
      </c>
      <c r="C12" s="4">
        <f>Laundry!$E$4/12</f>
        <v>216.6666667</v>
      </c>
      <c r="D12" s="4">
        <f>Laundry!$E$4/12</f>
        <v>216.6666667</v>
      </c>
      <c r="E12" s="4">
        <f>Laundry!$E$4/12</f>
        <v>216.6666667</v>
      </c>
      <c r="F12" s="4">
        <f>Laundry!$E$4/12</f>
        <v>216.6666667</v>
      </c>
      <c r="G12" s="4">
        <f>Laundry!$E$4/12</f>
        <v>216.6666667</v>
      </c>
      <c r="H12" s="4">
        <f>Laundry!$E$4/12</f>
        <v>216.6666667</v>
      </c>
      <c r="I12" s="4">
        <f>Laundry!$E$4/12</f>
        <v>216.6666667</v>
      </c>
      <c r="J12" s="4">
        <f>Laundry!$E$4/12</f>
        <v>216.6666667</v>
      </c>
      <c r="K12" s="4">
        <f>Laundry!$E$4/12</f>
        <v>216.6666667</v>
      </c>
      <c r="L12" s="4">
        <f>Laundry!$E$4/12</f>
        <v>216.6666667</v>
      </c>
      <c r="M12" s="4">
        <f>Laundry!$E$4/12</f>
        <v>216.6666667</v>
      </c>
      <c r="N12" s="4">
        <f t="shared" si="6"/>
        <v>2600</v>
      </c>
    </row>
    <row r="13" ht="14.25" customHeight="1">
      <c r="A13" s="6" t="s">
        <v>21</v>
      </c>
      <c r="B13" s="4">
        <v>200.0</v>
      </c>
      <c r="C13" s="4">
        <v>200.0</v>
      </c>
      <c r="D13" s="4">
        <v>200.0</v>
      </c>
      <c r="E13" s="4">
        <v>200.0</v>
      </c>
      <c r="F13" s="4">
        <v>200.0</v>
      </c>
      <c r="G13" s="4">
        <v>200.0</v>
      </c>
      <c r="H13" s="4">
        <v>200.0</v>
      </c>
      <c r="I13" s="4">
        <v>200.0</v>
      </c>
      <c r="J13" s="4">
        <v>200.0</v>
      </c>
      <c r="K13" s="4">
        <v>200.0</v>
      </c>
      <c r="L13" s="4">
        <v>200.0</v>
      </c>
      <c r="M13" s="4">
        <v>200.0</v>
      </c>
      <c r="N13" s="4">
        <f t="shared" si="6"/>
        <v>2400</v>
      </c>
    </row>
    <row r="14" ht="14.25" customHeight="1">
      <c r="A14" s="6" t="s">
        <v>22</v>
      </c>
      <c r="B14" s="4">
        <f>'Office Support'!$B$7/12</f>
        <v>1900</v>
      </c>
      <c r="C14" s="4">
        <f>'Office Support'!$B$7/12</f>
        <v>1900</v>
      </c>
      <c r="D14" s="4">
        <f>'Office Support'!$B$7/12</f>
        <v>1900</v>
      </c>
      <c r="E14" s="4">
        <f>'Office Support'!$B$7/12</f>
        <v>1900</v>
      </c>
      <c r="F14" s="4">
        <f>'Office Support'!$B$7/12</f>
        <v>1900</v>
      </c>
      <c r="G14" s="4">
        <f>'Office Support'!$B$7/12</f>
        <v>1900</v>
      </c>
      <c r="H14" s="4">
        <f>'Office Support'!$B$7/12</f>
        <v>1900</v>
      </c>
      <c r="I14" s="4">
        <f>'Office Support'!$B$7/12</f>
        <v>1900</v>
      </c>
      <c r="J14" s="4">
        <f>'Office Support'!$B$7/12</f>
        <v>1900</v>
      </c>
      <c r="K14" s="4">
        <f>'Office Support'!$B$7/12</f>
        <v>1900</v>
      </c>
      <c r="L14" s="4">
        <f>'Office Support'!$B$7/12</f>
        <v>1900</v>
      </c>
      <c r="M14" s="4">
        <f>'Office Support'!$B$7/12</f>
        <v>1900</v>
      </c>
      <c r="N14" s="4">
        <f t="shared" si="6"/>
        <v>22800</v>
      </c>
    </row>
    <row r="15" ht="14.25" customHeight="1">
      <c r="A15" s="6" t="s">
        <v>23</v>
      </c>
      <c r="B15" s="4">
        <f>0.05*Capital!$B$12/12</f>
        <v>2318.75</v>
      </c>
      <c r="C15" s="4">
        <f>0.05*Capital!$B$12/12</f>
        <v>2318.75</v>
      </c>
      <c r="D15" s="4">
        <f>0.05*Capital!$B$12/12</f>
        <v>2318.75</v>
      </c>
      <c r="E15" s="4">
        <f>0.05*Capital!$B$12/12</f>
        <v>2318.75</v>
      </c>
      <c r="F15" s="4">
        <f>0.05*Capital!$B$12/12</f>
        <v>2318.75</v>
      </c>
      <c r="G15" s="4">
        <f>0.05*Capital!$B$12/12</f>
        <v>2318.75</v>
      </c>
      <c r="H15" s="4">
        <f>0.05*Capital!$B$12/12</f>
        <v>2318.75</v>
      </c>
      <c r="I15" s="4">
        <f>0.05*Capital!$B$12/12</f>
        <v>2318.75</v>
      </c>
      <c r="J15" s="4">
        <f>0.05*Capital!$B$12/12</f>
        <v>2318.75</v>
      </c>
      <c r="K15" s="4">
        <f>0.05*Capital!$B$12/12</f>
        <v>2318.75</v>
      </c>
      <c r="L15" s="4">
        <f>0.05*Capital!$B$12/12</f>
        <v>2318.75</v>
      </c>
      <c r="M15" s="4">
        <f>0.05*Capital!$B$12/12</f>
        <v>2318.75</v>
      </c>
      <c r="N15" s="4">
        <f t="shared" si="6"/>
        <v>27825</v>
      </c>
    </row>
    <row r="16" ht="14.25" customHeight="1">
      <c r="A16" s="6" t="s">
        <v>24</v>
      </c>
      <c r="B16" s="4">
        <f>'Salaries &amp; Benefits'!$E$10/12</f>
        <v>21805</v>
      </c>
      <c r="C16" s="4">
        <f>'Salaries &amp; Benefits'!$E$10/12</f>
        <v>21805</v>
      </c>
      <c r="D16" s="4">
        <f>'Salaries &amp; Benefits'!$E$10/12</f>
        <v>21805</v>
      </c>
      <c r="E16" s="4">
        <f>'Salaries &amp; Benefits'!$E$10/12</f>
        <v>21805</v>
      </c>
      <c r="F16" s="4">
        <f>'Salaries &amp; Benefits'!$E$10/12</f>
        <v>21805</v>
      </c>
      <c r="G16" s="4">
        <f>'Salaries &amp; Benefits'!$E$10/12</f>
        <v>21805</v>
      </c>
      <c r="H16" s="4">
        <f>'Salaries &amp; Benefits'!$E$10/12</f>
        <v>21805</v>
      </c>
      <c r="I16" s="4">
        <f>'Salaries &amp; Benefits'!$E$10/12</f>
        <v>21805</v>
      </c>
      <c r="J16" s="4">
        <f>'Salaries &amp; Benefits'!$E$10/12</f>
        <v>21805</v>
      </c>
      <c r="K16" s="4">
        <f>'Salaries &amp; Benefits'!$E$10/12</f>
        <v>21805</v>
      </c>
      <c r="L16" s="4">
        <f>'Salaries &amp; Benefits'!$E$10/12</f>
        <v>21805</v>
      </c>
      <c r="M16" s="4">
        <f>'Salaries &amp; Benefits'!$E$10/12</f>
        <v>21805</v>
      </c>
      <c r="N16" s="4">
        <f t="shared" si="6"/>
        <v>261660</v>
      </c>
    </row>
    <row r="17" ht="14.25" customHeight="1">
      <c r="A17" s="6" t="s">
        <v>25</v>
      </c>
      <c r="B17" s="4">
        <f t="shared" ref="B17:M17" si="7">0.0175*B4</f>
        <v>3091.506849</v>
      </c>
      <c r="C17" s="4">
        <f t="shared" si="7"/>
        <v>2792.328767</v>
      </c>
      <c r="D17" s="4">
        <f t="shared" si="7"/>
        <v>4250.821918</v>
      </c>
      <c r="E17" s="4">
        <f t="shared" si="7"/>
        <v>4487.671233</v>
      </c>
      <c r="F17" s="4">
        <f t="shared" si="7"/>
        <v>5410.136986</v>
      </c>
      <c r="G17" s="4">
        <f t="shared" si="7"/>
        <v>5609.589041</v>
      </c>
      <c r="H17" s="4">
        <f t="shared" si="7"/>
        <v>5796.575342</v>
      </c>
      <c r="I17" s="4">
        <f t="shared" si="7"/>
        <v>4929.166667</v>
      </c>
      <c r="J17" s="4">
        <f t="shared" si="7"/>
        <v>4929.166667</v>
      </c>
      <c r="K17" s="4">
        <f t="shared" si="7"/>
        <v>5410.136986</v>
      </c>
      <c r="L17" s="4">
        <f t="shared" si="7"/>
        <v>5983.561644</v>
      </c>
      <c r="M17" s="4">
        <f t="shared" si="7"/>
        <v>6569.452055</v>
      </c>
      <c r="N17" s="4">
        <f t="shared" si="6"/>
        <v>59260.11416</v>
      </c>
    </row>
    <row r="18" ht="14.25" customHeight="1">
      <c r="A18" s="6" t="s">
        <v>26</v>
      </c>
      <c r="B18" s="4">
        <f>Capital!$B$18</f>
        <v>10501.84152</v>
      </c>
      <c r="C18" s="4">
        <f>Capital!$B$18</f>
        <v>10501.84152</v>
      </c>
      <c r="D18" s="4">
        <f>Capital!$B$18</f>
        <v>10501.84152</v>
      </c>
      <c r="E18" s="4">
        <f>Capital!$B$18</f>
        <v>10501.84152</v>
      </c>
      <c r="F18" s="4">
        <f>Capital!$B$18</f>
        <v>10501.84152</v>
      </c>
      <c r="G18" s="4">
        <f>Capital!$B$18</f>
        <v>10501.84152</v>
      </c>
      <c r="H18" s="4">
        <f>Capital!$B$18</f>
        <v>10501.84152</v>
      </c>
      <c r="I18" s="4">
        <f>Capital!$B$18</f>
        <v>10501.84152</v>
      </c>
      <c r="J18" s="4">
        <f>Capital!$B$18</f>
        <v>10501.84152</v>
      </c>
      <c r="K18" s="4">
        <f>Capital!$B$18</f>
        <v>10501.84152</v>
      </c>
      <c r="L18" s="4">
        <f>Capital!$B$18</f>
        <v>10501.84152</v>
      </c>
      <c r="M18" s="4">
        <f>Capital!$B$18</f>
        <v>10501.84152</v>
      </c>
      <c r="N18" s="4">
        <f t="shared" si="6"/>
        <v>126022.0983</v>
      </c>
    </row>
    <row r="19" ht="14.25" customHeight="1">
      <c r="A19" s="6" t="s">
        <v>27</v>
      </c>
      <c r="B19" s="4">
        <f>Rent!$B$5/12</f>
        <v>3333.333333</v>
      </c>
      <c r="C19" s="4">
        <f>Rent!$B$5/12</f>
        <v>3333.333333</v>
      </c>
      <c r="D19" s="4">
        <f>Rent!$B$5/12</f>
        <v>3333.333333</v>
      </c>
      <c r="E19" s="4">
        <f>Rent!$B$5/12</f>
        <v>3333.333333</v>
      </c>
      <c r="F19" s="4">
        <f>Rent!$B$5/12</f>
        <v>3333.333333</v>
      </c>
      <c r="G19" s="4">
        <f>Rent!$B$5/12</f>
        <v>3333.333333</v>
      </c>
      <c r="H19" s="4">
        <f>Rent!$B$5/12</f>
        <v>3333.333333</v>
      </c>
      <c r="I19" s="4">
        <f>Rent!$B$5/12</f>
        <v>3333.333333</v>
      </c>
      <c r="J19" s="4">
        <f>Rent!$B$5/12</f>
        <v>3333.333333</v>
      </c>
      <c r="K19" s="4">
        <f>Rent!$B$5/12</f>
        <v>3333.333333</v>
      </c>
      <c r="L19" s="4">
        <f>Rent!$B$5/12</f>
        <v>3333.333333</v>
      </c>
      <c r="M19" s="4">
        <f>Rent!$B$5/12</f>
        <v>3333.333333</v>
      </c>
      <c r="N19" s="4">
        <f t="shared" si="6"/>
        <v>40000</v>
      </c>
    </row>
    <row r="20" ht="14.25" customHeight="1">
      <c r="A20" s="6" t="s">
        <v>28</v>
      </c>
      <c r="B20" s="4">
        <f>Taxes!$B$5/12</f>
        <v>3270.75</v>
      </c>
      <c r="C20" s="4">
        <f>Taxes!$B$5/12</f>
        <v>3270.75</v>
      </c>
      <c r="D20" s="4">
        <f>Taxes!$B$5/12</f>
        <v>3270.75</v>
      </c>
      <c r="E20" s="4">
        <f>Taxes!$B$5/12</f>
        <v>3270.75</v>
      </c>
      <c r="F20" s="4">
        <f>Taxes!$B$5/12</f>
        <v>3270.75</v>
      </c>
      <c r="G20" s="4">
        <f>Taxes!$B$5/12</f>
        <v>3270.75</v>
      </c>
      <c r="H20" s="4">
        <f>Taxes!$B$5/12</f>
        <v>3270.75</v>
      </c>
      <c r="I20" s="4">
        <f>Taxes!$B$5/12</f>
        <v>3270.75</v>
      </c>
      <c r="J20" s="4">
        <f>Taxes!$B$5/12</f>
        <v>3270.75</v>
      </c>
      <c r="K20" s="4">
        <f>Taxes!$B$5/12</f>
        <v>3270.75</v>
      </c>
      <c r="L20" s="4">
        <f>Taxes!$B$5/12</f>
        <v>3270.75</v>
      </c>
      <c r="M20" s="4">
        <f>Taxes!$B$5/12</f>
        <v>3270.75</v>
      </c>
      <c r="N20" s="4">
        <f t="shared" si="6"/>
        <v>39249</v>
      </c>
    </row>
    <row r="21" ht="14.25" customHeight="1">
      <c r="A21" s="6" t="s">
        <v>29</v>
      </c>
      <c r="B21" s="8">
        <f t="shared" ref="B21:M21" si="8">0.03*B4</f>
        <v>5299.726027</v>
      </c>
      <c r="C21" s="8">
        <f t="shared" si="8"/>
        <v>4786.849315</v>
      </c>
      <c r="D21" s="8">
        <f t="shared" si="8"/>
        <v>7287.123288</v>
      </c>
      <c r="E21" s="8">
        <f t="shared" si="8"/>
        <v>7693.150685</v>
      </c>
      <c r="F21" s="8">
        <f t="shared" si="8"/>
        <v>9274.520548</v>
      </c>
      <c r="G21" s="8">
        <f t="shared" si="8"/>
        <v>9616.438356</v>
      </c>
      <c r="H21" s="8">
        <f t="shared" si="8"/>
        <v>9936.986301</v>
      </c>
      <c r="I21" s="8">
        <f t="shared" si="8"/>
        <v>8450</v>
      </c>
      <c r="J21" s="8">
        <f t="shared" si="8"/>
        <v>8450</v>
      </c>
      <c r="K21" s="8">
        <f t="shared" si="8"/>
        <v>9274.520548</v>
      </c>
      <c r="L21" s="8">
        <f t="shared" si="8"/>
        <v>10257.53425</v>
      </c>
      <c r="M21" s="8">
        <f t="shared" si="8"/>
        <v>11261.91781</v>
      </c>
      <c r="N21" s="8">
        <f t="shared" si="6"/>
        <v>101588.7671</v>
      </c>
    </row>
    <row r="22" ht="14.25" customHeight="1">
      <c r="A22" s="3" t="s">
        <v>30</v>
      </c>
      <c r="B22" s="4">
        <f t="shared" ref="B22:N22" si="9">SUM(B9:B21)</f>
        <v>62696.98308</v>
      </c>
      <c r="C22" s="4">
        <f t="shared" si="9"/>
        <v>61713.96938</v>
      </c>
      <c r="D22" s="4">
        <f t="shared" si="9"/>
        <v>66506.16116</v>
      </c>
      <c r="E22" s="4">
        <f t="shared" si="9"/>
        <v>67284.38034</v>
      </c>
      <c r="F22" s="4">
        <f t="shared" si="9"/>
        <v>70315.33924</v>
      </c>
      <c r="G22" s="4">
        <f t="shared" si="9"/>
        <v>70970.68171</v>
      </c>
      <c r="H22" s="4">
        <f t="shared" si="9"/>
        <v>71585.06527</v>
      </c>
      <c r="I22" s="4">
        <f t="shared" si="9"/>
        <v>68735.00819</v>
      </c>
      <c r="J22" s="4">
        <f t="shared" si="9"/>
        <v>68735.00819</v>
      </c>
      <c r="K22" s="4">
        <f t="shared" si="9"/>
        <v>70315.33924</v>
      </c>
      <c r="L22" s="4">
        <f t="shared" si="9"/>
        <v>72199.44883</v>
      </c>
      <c r="M22" s="4">
        <f t="shared" si="9"/>
        <v>74124.51732</v>
      </c>
      <c r="N22" s="4">
        <f t="shared" si="9"/>
        <v>825181.9019</v>
      </c>
    </row>
    <row r="23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P23" s="6" t="s">
        <v>31</v>
      </c>
    </row>
    <row r="24" ht="14.25" customHeight="1">
      <c r="A24" s="3" t="s">
        <v>32</v>
      </c>
      <c r="B24" s="4">
        <f t="shared" ref="B24:N24" si="10">B4-B5-B22</f>
        <v>-6166.572116</v>
      </c>
      <c r="C24" s="4">
        <f t="shared" si="10"/>
        <v>-10654.24335</v>
      </c>
      <c r="D24" s="4">
        <f t="shared" si="10"/>
        <v>11223.15391</v>
      </c>
      <c r="E24" s="4">
        <f t="shared" si="10"/>
        <v>14775.89364</v>
      </c>
      <c r="F24" s="4">
        <f t="shared" si="10"/>
        <v>28612.87994</v>
      </c>
      <c r="G24" s="4">
        <f t="shared" si="10"/>
        <v>31604.66076</v>
      </c>
      <c r="H24" s="4">
        <f t="shared" si="10"/>
        <v>34409.45528</v>
      </c>
      <c r="I24" s="4">
        <f t="shared" si="10"/>
        <v>21398.32514</v>
      </c>
      <c r="J24" s="4">
        <f t="shared" si="10"/>
        <v>21398.32514</v>
      </c>
      <c r="K24" s="4">
        <f t="shared" si="10"/>
        <v>28612.87994</v>
      </c>
      <c r="L24" s="4">
        <f t="shared" si="10"/>
        <v>37214.2498</v>
      </c>
      <c r="M24" s="4">
        <f t="shared" si="10"/>
        <v>46002.60597</v>
      </c>
      <c r="N24" s="4">
        <f t="shared" si="10"/>
        <v>258431.6141</v>
      </c>
      <c r="P24" s="10">
        <f>N24/N4</f>
        <v>0.07631698505</v>
      </c>
    </row>
    <row r="25" ht="14.25" customHeight="1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ht="14.25" customHeight="1">
      <c r="A26" s="3" t="s">
        <v>33</v>
      </c>
      <c r="B26" s="4">
        <f t="shared" ref="B26:M26" si="11">0.08*B24</f>
        <v>-493.3257693</v>
      </c>
      <c r="C26" s="4">
        <f t="shared" si="11"/>
        <v>-852.339468</v>
      </c>
      <c r="D26" s="4">
        <f t="shared" si="11"/>
        <v>897.8523129</v>
      </c>
      <c r="E26" s="4">
        <f t="shared" si="11"/>
        <v>1182.071491</v>
      </c>
      <c r="F26" s="4">
        <f t="shared" si="11"/>
        <v>2289.030395</v>
      </c>
      <c r="G26" s="4">
        <f t="shared" si="11"/>
        <v>2528.372861</v>
      </c>
      <c r="H26" s="4">
        <f t="shared" si="11"/>
        <v>2752.756422</v>
      </c>
      <c r="I26" s="4">
        <f t="shared" si="11"/>
        <v>1711.866012</v>
      </c>
      <c r="J26" s="4">
        <f t="shared" si="11"/>
        <v>1711.866012</v>
      </c>
      <c r="K26" s="4">
        <f t="shared" si="11"/>
        <v>2289.030395</v>
      </c>
      <c r="L26" s="4">
        <f t="shared" si="11"/>
        <v>2977.139984</v>
      </c>
      <c r="M26" s="4">
        <f t="shared" si="11"/>
        <v>3680.208477</v>
      </c>
      <c r="N26" s="4">
        <f>SUM(B27:M27)</f>
        <v>22020.19436</v>
      </c>
    </row>
    <row r="27" ht="14.25" hidden="1" customHeight="1">
      <c r="A27" s="3"/>
      <c r="B27" s="4">
        <f t="shared" ref="B27:M27" si="12">IF(B26&gt;0,B26,0)</f>
        <v>0</v>
      </c>
      <c r="C27" s="4">
        <f t="shared" si="12"/>
        <v>0</v>
      </c>
      <c r="D27" s="4">
        <f t="shared" si="12"/>
        <v>897.8523129</v>
      </c>
      <c r="E27" s="4">
        <f t="shared" si="12"/>
        <v>1182.071491</v>
      </c>
      <c r="F27" s="4">
        <f t="shared" si="12"/>
        <v>2289.030395</v>
      </c>
      <c r="G27" s="4">
        <f t="shared" si="12"/>
        <v>2528.372861</v>
      </c>
      <c r="H27" s="4">
        <f t="shared" si="12"/>
        <v>2752.756422</v>
      </c>
      <c r="I27" s="4">
        <f t="shared" si="12"/>
        <v>1711.866012</v>
      </c>
      <c r="J27" s="4">
        <f t="shared" si="12"/>
        <v>1711.866012</v>
      </c>
      <c r="K27" s="4">
        <f t="shared" si="12"/>
        <v>2289.030395</v>
      </c>
      <c r="L27" s="4">
        <f t="shared" si="12"/>
        <v>2977.139984</v>
      </c>
      <c r="M27" s="4">
        <f t="shared" si="12"/>
        <v>3680.208477</v>
      </c>
      <c r="N27" s="1"/>
    </row>
    <row r="28" ht="14.25" customHeight="1">
      <c r="A28" s="3" t="s">
        <v>34</v>
      </c>
      <c r="B28" s="4">
        <f t="shared" ref="B28:M28" si="13">0.2*(B24-B26)</f>
        <v>-1134.649269</v>
      </c>
      <c r="C28" s="4">
        <f t="shared" si="13"/>
        <v>-1960.380776</v>
      </c>
      <c r="D28" s="4">
        <f t="shared" si="13"/>
        <v>2065.06032</v>
      </c>
      <c r="E28" s="4">
        <f t="shared" si="13"/>
        <v>2718.764429</v>
      </c>
      <c r="F28" s="4">
        <f t="shared" si="13"/>
        <v>5264.769909</v>
      </c>
      <c r="G28" s="4">
        <f t="shared" si="13"/>
        <v>5815.25758</v>
      </c>
      <c r="H28" s="4">
        <f t="shared" si="13"/>
        <v>6331.339772</v>
      </c>
      <c r="I28" s="4">
        <f t="shared" si="13"/>
        <v>3937.291826</v>
      </c>
      <c r="J28" s="4">
        <f t="shared" si="13"/>
        <v>3937.291826</v>
      </c>
      <c r="K28" s="4">
        <f t="shared" si="13"/>
        <v>5264.769909</v>
      </c>
      <c r="L28" s="4">
        <f t="shared" si="13"/>
        <v>6847.421963</v>
      </c>
      <c r="M28" s="4">
        <f t="shared" si="13"/>
        <v>8464.479498</v>
      </c>
      <c r="N28" s="4">
        <f>SUM(B29:M29)</f>
        <v>50646.44703</v>
      </c>
    </row>
    <row r="29" ht="14.25" hidden="1" customHeight="1">
      <c r="B29" s="4">
        <f t="shared" ref="B29:M29" si="14">IF(B28&gt;0,B28,0)</f>
        <v>0</v>
      </c>
      <c r="C29" s="4">
        <f t="shared" si="14"/>
        <v>0</v>
      </c>
      <c r="D29" s="4">
        <f t="shared" si="14"/>
        <v>2065.06032</v>
      </c>
      <c r="E29" s="4">
        <f t="shared" si="14"/>
        <v>2718.764429</v>
      </c>
      <c r="F29" s="4">
        <f t="shared" si="14"/>
        <v>5264.769909</v>
      </c>
      <c r="G29" s="4">
        <f t="shared" si="14"/>
        <v>5815.25758</v>
      </c>
      <c r="H29" s="4">
        <f t="shared" si="14"/>
        <v>6331.339772</v>
      </c>
      <c r="I29" s="4">
        <f t="shared" si="14"/>
        <v>3937.291826</v>
      </c>
      <c r="J29" s="4">
        <f t="shared" si="14"/>
        <v>3937.291826</v>
      </c>
      <c r="K29" s="4">
        <f t="shared" si="14"/>
        <v>5264.769909</v>
      </c>
      <c r="L29" s="4">
        <f t="shared" si="14"/>
        <v>6847.421963</v>
      </c>
      <c r="M29" s="4">
        <f t="shared" si="14"/>
        <v>8464.479498</v>
      </c>
      <c r="N29" s="4"/>
    </row>
    <row r="30" ht="14.25" customHeight="1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ht="14.25" customHeight="1">
      <c r="A31" s="7" t="s">
        <v>35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ht="14.25" customHeight="1">
      <c r="A32" s="6" t="s">
        <v>36</v>
      </c>
      <c r="B32" s="4">
        <f t="shared" ref="B32:M32" si="15">(B24-B26-B28)</f>
        <v>-4538.597078</v>
      </c>
      <c r="C32" s="4">
        <f t="shared" si="15"/>
        <v>-7841.523105</v>
      </c>
      <c r="D32" s="4">
        <f t="shared" si="15"/>
        <v>8260.241278</v>
      </c>
      <c r="E32" s="4">
        <f t="shared" si="15"/>
        <v>10875.05772</v>
      </c>
      <c r="F32" s="4">
        <f t="shared" si="15"/>
        <v>21059.07963</v>
      </c>
      <c r="G32" s="4">
        <f t="shared" si="15"/>
        <v>23261.03032</v>
      </c>
      <c r="H32" s="4">
        <f t="shared" si="15"/>
        <v>25325.35909</v>
      </c>
      <c r="I32" s="4">
        <f t="shared" si="15"/>
        <v>15749.16731</v>
      </c>
      <c r="J32" s="4">
        <f t="shared" si="15"/>
        <v>15749.16731</v>
      </c>
      <c r="K32" s="4">
        <f t="shared" si="15"/>
        <v>21059.07963</v>
      </c>
      <c r="L32" s="4">
        <f t="shared" si="15"/>
        <v>27389.68785</v>
      </c>
      <c r="M32" s="4">
        <f t="shared" si="15"/>
        <v>33857.91799</v>
      </c>
      <c r="N32" s="4">
        <f>SUM(B32:M32)</f>
        <v>190205.6679</v>
      </c>
    </row>
    <row r="33" ht="14.25" customHeight="1">
      <c r="A33" s="6" t="s">
        <v>37</v>
      </c>
      <c r="B33" s="4">
        <f>B32/'Investment Plan'!$B$7</f>
        <v>-4.538597078</v>
      </c>
      <c r="C33" s="4">
        <f>C32/'Investment Plan'!$B$7</f>
        <v>-7.841523105</v>
      </c>
      <c r="D33" s="4">
        <f>D32/'Investment Plan'!$B$7</f>
        <v>8.260241278</v>
      </c>
      <c r="E33" s="4">
        <f>E32/'Investment Plan'!$B$7</f>
        <v>10.87505772</v>
      </c>
      <c r="F33" s="4">
        <f>F32/'Investment Plan'!$B$7</f>
        <v>21.05907963</v>
      </c>
      <c r="G33" s="4">
        <f>G32/'Investment Plan'!$B$7</f>
        <v>23.26103032</v>
      </c>
      <c r="H33" s="4">
        <f>H32/'Investment Plan'!$B$7</f>
        <v>25.32535909</v>
      </c>
      <c r="I33" s="4">
        <f>I32/'Investment Plan'!$B$7</f>
        <v>15.74916731</v>
      </c>
      <c r="J33" s="4">
        <f>J32/'Investment Plan'!$B$7</f>
        <v>15.74916731</v>
      </c>
      <c r="K33" s="4">
        <f>K32/'Investment Plan'!$B$7</f>
        <v>21.05907963</v>
      </c>
      <c r="L33" s="4">
        <f>L32/'Investment Plan'!$B$7</f>
        <v>27.38968785</v>
      </c>
      <c r="M33" s="4">
        <f>M32/'Investment Plan'!$B$7</f>
        <v>33.85791799</v>
      </c>
      <c r="N33" s="4">
        <f>N32/'Investment Plan'!$B$7</f>
        <v>190.2056679</v>
      </c>
      <c r="O33" s="11"/>
    </row>
    <row r="34" ht="14.25" customHeight="1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ht="14.2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ht="14.2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ht="14.25" customHeight="1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ht="14.2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ht="14.2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ht="14.2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ht="14.2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ht="14.2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ht="14.2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ht="14.2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ht="14.2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ht="14.2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ht="14.2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ht="14.2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ht="14.2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ht="14.2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ht="14.2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ht="14.2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ht="14.2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ht="14.2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ht="14.2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ht="14.2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ht="14.2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ht="14.2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ht="14.2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ht="14.2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ht="14.2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ht="14.2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ht="14.2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ht="14.2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ht="14.2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ht="14.2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ht="14.2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ht="14.2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ht="14.2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ht="14.2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ht="14.2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ht="14.2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ht="14.2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ht="14.2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ht="14.2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ht="14.2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ht="14.2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ht="14.2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ht="14.2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ht="14.2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ht="14.2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ht="14.2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ht="14.2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ht="14.2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ht="14.2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ht="14.2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ht="14.2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ht="14.2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ht="14.2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ht="14.2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ht="14.2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ht="14.2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ht="14.2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ht="14.2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ht="14.2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ht="14.2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ht="14.2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ht="14.2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ht="14.2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ht="14.2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ht="14.2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ht="14.2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ht="14.2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ht="14.2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ht="14.2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ht="14.2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ht="14.2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ht="14.2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ht="14.2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ht="14.2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ht="14.2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ht="14.2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ht="14.2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ht="14.2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ht="14.2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ht="14.2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ht="14.2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ht="14.2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ht="14.2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ht="14.2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ht="14.2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ht="14.2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ht="14.2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ht="14.2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ht="14.2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ht="14.2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ht="14.2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ht="14.2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ht="14.2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ht="14.2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ht="14.2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ht="14.2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ht="14.2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ht="14.2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ht="14.2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ht="14.2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ht="14.2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ht="14.2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ht="14.2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ht="14.2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ht="14.2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ht="14.2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ht="14.2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ht="14.2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ht="14.2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ht="14.2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ht="14.2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ht="14.2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ht="14.2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ht="14.2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ht="14.2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ht="14.2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ht="14.2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ht="14.2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ht="14.2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ht="14.2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ht="14.2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ht="14.2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ht="14.2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ht="14.2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ht="14.2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ht="14.2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ht="14.2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ht="14.2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ht="14.2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ht="14.2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ht="14.2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ht="14.2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ht="14.2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ht="14.2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ht="14.2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ht="14.2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ht="14.2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ht="14.2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ht="14.2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ht="14.2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ht="14.2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ht="14.2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ht="14.2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ht="14.2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ht="14.2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ht="14.2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ht="14.2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ht="14.2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ht="14.2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ht="14.2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ht="14.2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ht="14.2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ht="14.2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ht="14.2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ht="14.2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ht="14.2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ht="14.2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ht="14.2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ht="14.2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ht="14.2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ht="14.2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ht="14.2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ht="14.2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ht="14.2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ht="14.2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ht="14.2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ht="14.2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ht="14.2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ht="14.2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ht="14.2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ht="14.2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ht="14.2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ht="14.2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ht="14.2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ht="14.2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ht="14.2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ht="14.2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ht="14.2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ht="14.2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ht="14.2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ht="14.2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ht="14.2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ht="14.2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ht="14.2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ht="14.2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ht="14.2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ht="14.2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ht="14.2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ht="14.2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ht="14.2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ht="14.2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ht="14.2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ht="14.2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ht="14.2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ht="14.2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ht="14.2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ht="14.2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ht="14.2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ht="14.2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ht="14.2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ht="14.2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ht="14.2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ht="14.2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ht="14.2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ht="14.2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ht="14.2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ht="14.2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ht="14.2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ht="14.2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ht="14.2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ht="14.2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ht="14.2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ht="14.2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ht="14.2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ht="14.2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ht="14.2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ht="14.2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ht="14.2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ht="14.2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ht="14.2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ht="14.2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ht="14.2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ht="14.2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ht="14.2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ht="14.2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ht="14.2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ht="14.2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ht="14.2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ht="14.2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ht="14.2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ht="14.2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ht="14.2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ht="14.2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ht="14.2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ht="14.2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ht="14.2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ht="14.2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ht="14.2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ht="14.2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ht="14.2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ht="14.2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ht="14.2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ht="14.2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ht="14.2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ht="14.2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ht="14.2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ht="14.2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ht="14.2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ht="14.2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ht="14.2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ht="14.2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ht="14.2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ht="14.2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ht="14.2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ht="14.2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ht="14.2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ht="14.2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ht="14.2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ht="14.2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ht="14.2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ht="14.2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ht="14.2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ht="14.2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ht="14.2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ht="14.2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ht="14.2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ht="14.2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ht="14.2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ht="14.2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ht="14.2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ht="14.2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ht="14.2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ht="14.2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ht="14.2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ht="14.2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ht="14.2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ht="14.2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ht="14.2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ht="14.2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ht="14.2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ht="14.2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ht="14.2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ht="14.2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ht="14.2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ht="14.2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ht="14.2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ht="14.2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ht="14.2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ht="14.2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ht="14.2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ht="14.2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ht="14.2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ht="14.2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ht="14.2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ht="14.2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ht="14.2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ht="14.2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ht="14.2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ht="14.2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ht="14.2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ht="14.2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ht="14.2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ht="14.2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ht="14.2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ht="14.2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ht="14.2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ht="14.2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ht="14.2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ht="14.2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ht="14.2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ht="14.2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ht="14.2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ht="14.2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ht="14.2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ht="14.2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ht="14.2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ht="14.2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ht="14.2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ht="14.2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ht="14.2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ht="14.2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ht="14.2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ht="14.2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ht="14.2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ht="14.2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ht="14.2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ht="14.2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ht="14.2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ht="14.2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ht="14.2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ht="14.2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ht="14.2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ht="14.2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ht="14.2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ht="14.2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ht="14.2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ht="14.2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ht="14.2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ht="14.2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ht="14.2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ht="14.2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ht="14.2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ht="14.2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ht="14.2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ht="14.2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ht="14.2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ht="14.2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ht="14.2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ht="14.2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ht="14.2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ht="14.2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ht="14.2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ht="14.2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ht="14.2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ht="14.2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ht="14.2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ht="14.2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ht="14.2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ht="14.2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ht="14.2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ht="14.2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ht="14.2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ht="14.2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ht="14.2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ht="14.2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ht="14.2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ht="14.2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ht="14.2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ht="14.2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ht="14.2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ht="14.2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ht="14.2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ht="14.2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ht="14.2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ht="14.2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ht="14.2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ht="14.2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ht="14.2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ht="14.2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ht="14.2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ht="14.2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ht="14.2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ht="14.2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ht="14.2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ht="14.2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ht="14.2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ht="14.2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ht="14.2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ht="14.2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ht="14.2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ht="14.2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ht="14.2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ht="14.2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ht="14.2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ht="14.2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ht="14.2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ht="14.2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ht="14.2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ht="14.2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ht="14.2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ht="14.2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ht="14.2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ht="14.2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ht="14.2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ht="14.2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ht="14.2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ht="14.2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ht="14.2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ht="14.2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ht="14.2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ht="14.2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ht="14.2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ht="14.2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ht="14.2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ht="14.2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ht="14.2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ht="14.2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ht="14.2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ht="14.2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ht="14.2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ht="14.2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ht="14.2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ht="14.2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ht="14.2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ht="14.2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ht="14.2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ht="14.2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ht="14.2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ht="14.2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ht="14.2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ht="14.2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ht="14.2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ht="14.2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ht="14.2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ht="14.2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ht="14.2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ht="14.2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ht="14.2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ht="14.2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ht="14.2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ht="14.2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ht="14.2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ht="14.2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ht="14.2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ht="14.2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ht="14.2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ht="14.2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ht="14.2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ht="14.2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ht="14.2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ht="14.2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ht="14.2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ht="14.2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ht="14.2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ht="14.2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ht="14.2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ht="14.2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ht="14.2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ht="14.2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ht="14.2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ht="14.2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ht="14.2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ht="14.2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ht="14.2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ht="14.2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ht="14.2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ht="14.2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ht="14.2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ht="14.2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ht="14.2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ht="14.2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ht="14.2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ht="14.2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ht="14.2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ht="14.2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ht="14.2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ht="14.2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ht="14.2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ht="14.2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ht="14.2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ht="14.2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ht="14.2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ht="14.2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ht="14.2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ht="14.2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ht="14.2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ht="14.2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ht="14.2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ht="14.2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ht="14.2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ht="14.2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ht="14.2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ht="14.2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ht="14.2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ht="14.2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ht="14.2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ht="14.2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ht="14.2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ht="14.2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ht="14.2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ht="14.2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ht="14.2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ht="14.2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ht="14.2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ht="14.2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ht="14.2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ht="14.2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ht="14.2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ht="14.2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ht="14.2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ht="14.2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ht="14.2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ht="14.2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ht="14.2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ht="14.2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ht="14.2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ht="14.2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ht="14.2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ht="14.2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ht="14.2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ht="14.2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ht="14.2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ht="14.2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ht="14.2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ht="14.2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ht="14.2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ht="14.2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ht="14.2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ht="14.2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ht="14.2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ht="14.2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ht="14.2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ht="14.2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ht="14.2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ht="14.2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ht="14.2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ht="14.2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ht="14.2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ht="14.2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ht="14.2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ht="14.2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ht="14.2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ht="14.2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ht="14.2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ht="14.2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ht="14.2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ht="14.2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ht="14.2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ht="14.2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ht="14.2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ht="14.2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ht="14.2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ht="14.2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ht="14.2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ht="14.2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ht="14.2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ht="14.2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ht="14.2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ht="14.2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ht="14.2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ht="14.2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ht="14.2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ht="14.2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ht="14.2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ht="14.2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ht="14.2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ht="14.2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ht="14.2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ht="14.2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ht="14.2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ht="14.2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ht="14.2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ht="14.2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ht="14.2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ht="14.2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ht="14.2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ht="14.2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ht="14.2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ht="14.2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ht="14.2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ht="14.2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ht="14.2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ht="14.2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ht="14.2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ht="14.2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ht="14.2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ht="14.2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ht="14.2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ht="14.2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ht="14.2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ht="14.2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ht="14.2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ht="14.2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ht="14.2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ht="14.2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ht="14.2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ht="14.2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ht="14.2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ht="14.2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ht="14.2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ht="14.2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ht="14.2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ht="14.2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ht="14.2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ht="14.2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ht="14.2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ht="14.2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ht="14.2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ht="14.2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ht="14.2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ht="14.2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ht="14.2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ht="14.2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ht="14.2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ht="14.2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ht="14.2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ht="14.2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ht="14.2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ht="14.2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ht="14.2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ht="14.2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ht="14.2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ht="14.2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ht="14.2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ht="14.2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ht="14.2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ht="14.2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ht="14.2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ht="14.2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ht="14.2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ht="14.2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ht="14.2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ht="14.2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ht="14.2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ht="14.2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ht="14.2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ht="14.2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ht="14.2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ht="14.2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ht="14.2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ht="14.2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ht="14.2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ht="14.2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ht="14.2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ht="14.2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ht="14.2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ht="14.2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ht="14.2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ht="14.2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ht="14.2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ht="14.2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ht="14.2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ht="14.2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ht="14.2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ht="14.2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ht="14.2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ht="14.2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ht="14.2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ht="14.2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ht="14.2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ht="14.2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ht="14.2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ht="14.2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ht="14.2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ht="14.2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ht="14.2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ht="14.2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ht="14.2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ht="14.2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ht="14.2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ht="14.2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ht="14.2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ht="14.2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ht="14.2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ht="14.2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ht="14.2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ht="14.2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ht="14.2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ht="14.2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ht="14.2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ht="14.2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ht="14.2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ht="14.2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ht="14.2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ht="14.2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ht="14.2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ht="14.2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ht="14.2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ht="14.2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ht="14.2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ht="14.2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ht="14.2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ht="14.2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ht="14.2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ht="14.2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ht="14.2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ht="14.2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ht="14.2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ht="14.2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ht="14.2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ht="14.2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ht="14.2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ht="14.2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ht="14.2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ht="14.2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ht="14.2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ht="14.2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ht="14.2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ht="14.2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ht="14.2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ht="14.2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ht="14.2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ht="14.2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ht="14.2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ht="14.2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ht="14.2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ht="14.2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ht="14.2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ht="14.2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ht="14.2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ht="14.2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ht="14.2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ht="14.2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ht="14.2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ht="14.2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ht="14.2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ht="14.2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ht="14.2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ht="14.2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ht="14.2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ht="14.2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ht="14.2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ht="14.2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ht="14.2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ht="14.2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ht="14.2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ht="14.2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ht="14.2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ht="14.2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ht="14.2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ht="14.2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ht="14.2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ht="14.2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ht="14.2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ht="14.2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ht="14.2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ht="14.2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ht="14.2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ht="14.2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ht="14.2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ht="14.2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ht="14.2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ht="14.2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ht="14.2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ht="14.2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ht="14.2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ht="14.2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ht="14.2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ht="14.2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ht="14.2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ht="14.2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ht="14.2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ht="14.2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ht="14.2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ht="14.2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ht="14.2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ht="14.2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ht="14.2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ht="14.2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ht="14.2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ht="14.2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ht="14.2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ht="14.2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ht="14.2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ht="14.2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ht="14.2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ht="14.2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ht="14.2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ht="14.2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ht="14.2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ht="14.2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ht="14.2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ht="14.2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ht="14.2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ht="14.2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ht="14.2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ht="14.2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ht="14.2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ht="14.2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ht="14.2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ht="14.2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ht="14.2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ht="14.2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ht="14.2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ht="14.2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ht="14.2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ht="14.2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ht="14.2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ht="14.2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ht="14.2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ht="14.2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ht="14.2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ht="14.2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ht="14.2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ht="14.2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ht="14.2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ht="14.2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ht="14.2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ht="14.2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ht="14.2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ht="14.2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ht="14.2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ht="14.2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ht="14.2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ht="14.2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ht="14.2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ht="14.2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ht="14.2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ht="14.2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ht="14.2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ht="14.2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ht="14.2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ht="14.2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ht="14.2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ht="14.2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ht="14.2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ht="14.2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ht="14.2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ht="14.2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ht="14.2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ht="14.2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ht="14.2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ht="14.2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ht="14.2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ht="14.2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ht="14.2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ht="14.2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ht="14.2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ht="14.2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ht="14.2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ht="14.2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ht="14.2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ht="14.2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ht="14.2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ht="14.2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ht="14.2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ht="14.2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ht="14.2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ht="14.2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ht="14.2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ht="14.2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ht="14.2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ht="14.2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ht="14.2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ht="14.2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ht="14.2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ht="14.2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ht="14.2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ht="14.2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ht="14.2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ht="14.2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ht="14.2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ht="14.2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ht="14.2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ht="14.2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ht="14.2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ht="14.2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ht="14.2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ht="14.2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ht="14.2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ht="14.2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ht="14.2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ht="14.2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ht="14.2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ht="14.2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ht="14.2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ht="14.2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ht="14.2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ht="14.2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ht="14.2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ht="14.2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ht="14.2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ht="14.2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ht="14.2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ht="14.2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ht="14.2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ht="14.2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ht="14.2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ht="14.2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ht="14.2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ht="14.2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ht="14.2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ht="14.2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ht="14.2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ht="14.2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ht="14.2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ht="14.2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ht="14.2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ht="14.2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ht="14.2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ht="14.2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ht="14.2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ht="14.2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ht="14.2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ht="14.2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ht="14.2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ht="14.2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ht="14.2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ht="14.2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ht="14.2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ht="14.2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ht="14.2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ht="14.2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ht="14.2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ht="14.2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ht="14.2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ht="14.2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ht="14.2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ht="14.2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ht="14.2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ht="14.2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ht="14.2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ht="14.2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ht="14.2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ht="14.2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ht="14.2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ht="14.2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ht="14.2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ht="14.2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ht="14.2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ht="14.2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ht="14.2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ht="14.2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ht="14.2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ht="14.2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ht="14.2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ht="14.2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ht="14.2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ht="14.2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ht="14.2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ht="14.2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ht="14.2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ht="14.2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ht="14.2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ht="14.2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ht="14.2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ht="14.2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ht="14.2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ht="14.2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ht="14.2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ht="14.2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ht="14.2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ht="14.2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ht="14.2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ht="14.2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ht="14.2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ht="14.2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ht="14.2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ht="14.2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ht="14.2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ht="14.2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ht="14.2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ht="14.2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ht="14.2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</sheetData>
  <printOptions/>
  <pageMargins bottom="0.75" footer="0.0" header="0.0" left="0.7" right="0.7" top="0.75"/>
  <pageSetup orientation="landscape"/>
  <colBreaks count="1" manualBreakCount="1">
    <brk id="14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6" width="8.71"/>
  </cols>
  <sheetData>
    <row r="1" ht="14.25" customHeight="1">
      <c r="A1" s="6" t="s">
        <v>103</v>
      </c>
      <c r="B1" s="6" t="s">
        <v>104</v>
      </c>
    </row>
    <row r="2" ht="14.25" customHeight="1">
      <c r="A2" s="6" t="s">
        <v>105</v>
      </c>
      <c r="B2" s="6">
        <v>10400.0</v>
      </c>
    </row>
    <row r="3" ht="14.25" customHeight="1">
      <c r="A3" s="6" t="s">
        <v>106</v>
      </c>
      <c r="B3" s="6">
        <v>10400.0</v>
      </c>
    </row>
    <row r="4" ht="14.25" customHeight="1">
      <c r="A4" s="6" t="s">
        <v>107</v>
      </c>
    </row>
    <row r="5" ht="14.25" customHeight="1">
      <c r="A5" s="6" t="s">
        <v>108</v>
      </c>
      <c r="B5" s="6">
        <v>2000.0</v>
      </c>
    </row>
    <row r="6" ht="14.25" customHeight="1"/>
    <row r="7" ht="14.25" customHeight="1">
      <c r="A7" s="6" t="s">
        <v>12</v>
      </c>
      <c r="B7" s="6">
        <f>SUM(B2:B5)</f>
        <v>22800</v>
      </c>
    </row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29"/>
    <col customWidth="1" min="2" max="2" width="10.57"/>
    <col customWidth="1" min="3" max="3" width="17.86"/>
    <col customWidth="1" min="4" max="26" width="8.71"/>
  </cols>
  <sheetData>
    <row r="1" ht="14.25" customHeight="1">
      <c r="A1" s="6" t="s">
        <v>109</v>
      </c>
      <c r="B1" s="6" t="s">
        <v>110</v>
      </c>
      <c r="C1" s="6" t="s">
        <v>111</v>
      </c>
      <c r="D1" s="6" t="s">
        <v>112</v>
      </c>
    </row>
    <row r="2" ht="14.25" customHeight="1">
      <c r="A2" s="6" t="s">
        <v>113</v>
      </c>
      <c r="B2" s="6">
        <v>400000.0</v>
      </c>
      <c r="C2" s="12">
        <f t="shared" ref="C2:C3" si="1">B2/10</f>
        <v>40000</v>
      </c>
      <c r="D2" s="6">
        <f>B2*0.7</f>
        <v>280000</v>
      </c>
    </row>
    <row r="3" ht="14.25" customHeight="1">
      <c r="A3" s="6" t="s">
        <v>114</v>
      </c>
      <c r="B3" s="6">
        <v>30000.0</v>
      </c>
      <c r="C3" s="12">
        <f t="shared" si="1"/>
        <v>3000</v>
      </c>
    </row>
    <row r="4" ht="14.25" customHeight="1">
      <c r="A4" s="6" t="s">
        <v>115</v>
      </c>
      <c r="B4" s="6">
        <v>50000.0</v>
      </c>
      <c r="C4" s="12">
        <f>B5/10</f>
        <v>20000</v>
      </c>
      <c r="D4" s="6">
        <f>B4*0.7</f>
        <v>35000</v>
      </c>
    </row>
    <row r="5" ht="14.25" customHeight="1">
      <c r="A5" s="6" t="s">
        <v>116</v>
      </c>
      <c r="B5" s="6">
        <v>200000.0</v>
      </c>
      <c r="C5" s="12">
        <f>B7/10</f>
        <v>10000</v>
      </c>
      <c r="D5" s="6">
        <f t="shared" ref="D5:D6" si="2">B5*0.6</f>
        <v>120000</v>
      </c>
    </row>
    <row r="6" ht="14.25" customHeight="1">
      <c r="A6" s="6" t="s">
        <v>25</v>
      </c>
      <c r="B6" s="6">
        <v>30000.0</v>
      </c>
      <c r="C6" s="12"/>
      <c r="D6" s="6">
        <f t="shared" si="2"/>
        <v>18000</v>
      </c>
    </row>
    <row r="7" ht="14.25" customHeight="1">
      <c r="A7" s="6" t="s">
        <v>117</v>
      </c>
      <c r="B7" s="6">
        <v>100000.0</v>
      </c>
      <c r="C7" s="12"/>
    </row>
    <row r="8" ht="14.25" customHeight="1">
      <c r="A8" s="6" t="s">
        <v>118</v>
      </c>
      <c r="B8" s="6">
        <v>115000.0</v>
      </c>
      <c r="C8" s="12"/>
      <c r="D8" s="6">
        <f>B8*1</f>
        <v>115000</v>
      </c>
    </row>
    <row r="9" ht="14.25" customHeight="1">
      <c r="A9" s="6" t="s">
        <v>119</v>
      </c>
      <c r="B9" s="12">
        <v>-200000.0</v>
      </c>
      <c r="C9" s="12"/>
    </row>
    <row r="10" ht="14.25" customHeight="1">
      <c r="B10" s="12"/>
      <c r="C10" s="12"/>
    </row>
    <row r="11" ht="14.25" customHeight="1">
      <c r="E11" s="6" t="s">
        <v>120</v>
      </c>
    </row>
    <row r="12" ht="14.25" customHeight="1">
      <c r="A12" s="6" t="s">
        <v>12</v>
      </c>
      <c r="B12" s="12">
        <v>556500.0</v>
      </c>
      <c r="C12" s="12">
        <f>B12/10</f>
        <v>55650</v>
      </c>
      <c r="D12" s="6">
        <f>SUM(D2:D11)</f>
        <v>568000</v>
      </c>
      <c r="E12" s="12">
        <f>B12-D12</f>
        <v>-11500</v>
      </c>
    </row>
    <row r="13" ht="14.25" customHeight="1"/>
    <row r="14" ht="14.25" customHeight="1"/>
    <row r="15" ht="14.25" customHeight="1">
      <c r="A15" s="6" t="s">
        <v>121</v>
      </c>
      <c r="B15" s="12">
        <f>B12</f>
        <v>556500</v>
      </c>
    </row>
    <row r="16" ht="14.25" customHeight="1">
      <c r="A16" s="6" t="s">
        <v>122</v>
      </c>
      <c r="B16" s="6">
        <v>5.0</v>
      </c>
    </row>
    <row r="17" ht="14.25" customHeight="1">
      <c r="A17" s="6" t="s">
        <v>56</v>
      </c>
      <c r="B17" s="18">
        <v>0.05</v>
      </c>
    </row>
    <row r="18" ht="14.25" customHeight="1">
      <c r="A18" s="6" t="s">
        <v>123</v>
      </c>
      <c r="B18" s="14">
        <f>PMT(B17/12,B16*12,-B15)</f>
        <v>10501.84152</v>
      </c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71"/>
    <col customWidth="1" min="2" max="26" width="8.71"/>
  </cols>
  <sheetData>
    <row r="1" ht="14.25" customHeight="1">
      <c r="A1" s="6" t="s">
        <v>25</v>
      </c>
      <c r="B1" s="6" t="s">
        <v>61</v>
      </c>
      <c r="C1" s="6" t="s">
        <v>124</v>
      </c>
      <c r="D1" s="6" t="s">
        <v>125</v>
      </c>
    </row>
    <row r="2" ht="14.25" customHeight="1">
      <c r="A2" s="6" t="s">
        <v>126</v>
      </c>
      <c r="D2" s="6">
        <f>'Cash Flow'!N4*0.0126</f>
        <v>42667.28219</v>
      </c>
    </row>
    <row r="3" ht="14.25" customHeight="1">
      <c r="A3" s="6" t="s">
        <v>127</v>
      </c>
      <c r="D3" s="6">
        <f>'Cash Flow'!N4*0.0049</f>
        <v>16592.83196</v>
      </c>
      <c r="H3" s="6" t="s">
        <v>128</v>
      </c>
    </row>
    <row r="4" ht="14.25" customHeight="1">
      <c r="H4" s="6" t="s">
        <v>129</v>
      </c>
    </row>
    <row r="5" ht="14.25" customHeight="1">
      <c r="H5" s="6">
        <f>1.26+0.49</f>
        <v>1.75</v>
      </c>
    </row>
    <row r="6" ht="14.25" customHeight="1">
      <c r="A6" s="6" t="s">
        <v>12</v>
      </c>
      <c r="D6" s="6">
        <f>SUM(D2:D4)</f>
        <v>59260.11416</v>
      </c>
    </row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71"/>
    <col customWidth="1" min="2" max="2" width="12.86"/>
    <col customWidth="1" min="3" max="3" width="12.14"/>
    <col customWidth="1" min="4" max="4" width="12.29"/>
    <col customWidth="1" min="5" max="26" width="8.71"/>
  </cols>
  <sheetData>
    <row r="1" ht="14.25" customHeight="1">
      <c r="B1" s="6" t="s">
        <v>38</v>
      </c>
      <c r="C1" s="6" t="s">
        <v>39</v>
      </c>
      <c r="D1" s="6" t="s">
        <v>40</v>
      </c>
    </row>
    <row r="2" ht="14.25" customHeight="1">
      <c r="A2" s="6" t="s">
        <v>41</v>
      </c>
      <c r="B2" s="5">
        <f>'Cash Flow'!N22</f>
        <v>825181.9019</v>
      </c>
      <c r="C2" s="11">
        <f>0.5*B2</f>
        <v>412590.951</v>
      </c>
      <c r="D2" s="6">
        <f>B2*0.25</f>
        <v>206295.4755</v>
      </c>
      <c r="E2" s="5"/>
    </row>
    <row r="3" ht="14.25" customHeight="1">
      <c r="A3" s="6" t="s">
        <v>42</v>
      </c>
      <c r="B3" s="12">
        <f>Capital!B12</f>
        <v>556500</v>
      </c>
      <c r="C3" s="12">
        <f>B3</f>
        <v>556500</v>
      </c>
      <c r="D3" s="12">
        <f>B3</f>
        <v>556500</v>
      </c>
    </row>
    <row r="4" ht="14.25" customHeight="1"/>
    <row r="5" ht="14.25" customHeight="1">
      <c r="A5" s="6" t="s">
        <v>12</v>
      </c>
      <c r="B5" s="5">
        <f t="shared" ref="B5:D5" si="1">SUM(B2:B4)</f>
        <v>1381681.902</v>
      </c>
      <c r="C5" s="5">
        <f t="shared" si="1"/>
        <v>969090.951</v>
      </c>
      <c r="D5" s="5">
        <f t="shared" si="1"/>
        <v>762795.4755</v>
      </c>
      <c r="E5" s="5"/>
    </row>
    <row r="6" ht="14.25" customHeight="1"/>
    <row r="7" ht="14.25" customHeight="1">
      <c r="A7" s="6" t="s">
        <v>43</v>
      </c>
      <c r="B7" s="6">
        <v>1000.0</v>
      </c>
      <c r="C7" s="6">
        <f>B7</f>
        <v>1000</v>
      </c>
      <c r="D7" s="6">
        <f>B7</f>
        <v>1000</v>
      </c>
    </row>
    <row r="8" ht="14.25" customHeight="1"/>
    <row r="9" ht="14.25" customHeight="1">
      <c r="A9" s="6" t="s">
        <v>44</v>
      </c>
      <c r="B9" s="11">
        <f t="shared" ref="B9:D9" si="2">B5/B7</f>
        <v>1381.681902</v>
      </c>
      <c r="C9" s="11">
        <f t="shared" si="2"/>
        <v>969.090951</v>
      </c>
      <c r="D9" s="11">
        <f t="shared" si="2"/>
        <v>762.7954755</v>
      </c>
      <c r="E9" s="11"/>
    </row>
    <row r="10" ht="14.25" customHeight="1"/>
    <row r="11" ht="14.25" customHeight="1">
      <c r="A11" s="6" t="s">
        <v>45</v>
      </c>
      <c r="B11" s="11">
        <f t="shared" ref="B11:D11" si="3">B7*0.1*B9</f>
        <v>138168.1902</v>
      </c>
      <c r="C11" s="11">
        <f t="shared" si="3"/>
        <v>96909.0951</v>
      </c>
      <c r="D11" s="11">
        <f t="shared" si="3"/>
        <v>76279.54755</v>
      </c>
    </row>
    <row r="12" ht="14.25" customHeight="1">
      <c r="A12" s="6" t="s">
        <v>46</v>
      </c>
      <c r="B12" s="11">
        <f t="shared" ref="B12:D12" si="4">B9*200</f>
        <v>276336.3804</v>
      </c>
      <c r="C12" s="11">
        <f t="shared" si="4"/>
        <v>193818.1902</v>
      </c>
      <c r="D12" s="11">
        <f t="shared" si="4"/>
        <v>152559.0951</v>
      </c>
    </row>
    <row r="13" ht="14.25" customHeight="1">
      <c r="A13" s="6" t="s">
        <v>47</v>
      </c>
      <c r="B13" s="11">
        <f t="shared" ref="B13:D13" si="5">B7*0.25*B9</f>
        <v>345420.4755</v>
      </c>
      <c r="C13" s="11">
        <f t="shared" si="5"/>
        <v>242272.7377</v>
      </c>
      <c r="D13" s="11">
        <f t="shared" si="5"/>
        <v>190698.8689</v>
      </c>
    </row>
    <row r="14" ht="14.25" customHeight="1"/>
    <row r="15" ht="14.25" customHeight="1">
      <c r="A15" s="6" t="s">
        <v>48</v>
      </c>
      <c r="B15" s="13">
        <f>('Cash Flow'!$N$32/100)/'Investment Plan'!B9</f>
        <v>1.376624154</v>
      </c>
      <c r="C15" s="13">
        <f>('Cash Flow'!$N$32/100)/'Investment Plan'!C9</f>
        <v>1.962722568</v>
      </c>
      <c r="D15" s="13">
        <f>('Cash Flow'!$N$32/100)/'Investment Plan'!D9</f>
        <v>2.493534297</v>
      </c>
    </row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71"/>
    <col customWidth="1" min="2" max="4" width="10.14"/>
    <col customWidth="1" min="5" max="26" width="8.71"/>
  </cols>
  <sheetData>
    <row r="1" ht="14.25" customHeight="1">
      <c r="B1" s="6" t="s">
        <v>49</v>
      </c>
      <c r="C1" s="6" t="s">
        <v>50</v>
      </c>
      <c r="D1" s="6" t="s">
        <v>51</v>
      </c>
    </row>
    <row r="2" ht="14.25" customHeight="1">
      <c r="A2" s="6" t="s">
        <v>52</v>
      </c>
      <c r="B2" s="12">
        <v>4.0</v>
      </c>
      <c r="C2" s="12">
        <v>5.0</v>
      </c>
      <c r="D2" s="12">
        <v>5.0</v>
      </c>
    </row>
    <row r="3" ht="14.25" customHeight="1">
      <c r="A3" s="6" t="s">
        <v>53</v>
      </c>
      <c r="B3" s="6">
        <v>10000.0</v>
      </c>
      <c r="C3" s="6">
        <v>10000.0</v>
      </c>
      <c r="D3" s="6">
        <v>10000.0</v>
      </c>
    </row>
    <row r="4" ht="14.25" customHeight="1"/>
    <row r="5" ht="14.25" customHeight="1">
      <c r="A5" s="6" t="s">
        <v>27</v>
      </c>
      <c r="B5" s="12">
        <f t="shared" ref="B5:D5" si="1">B2*B3</f>
        <v>40000</v>
      </c>
      <c r="C5" s="12">
        <f t="shared" si="1"/>
        <v>50000</v>
      </c>
      <c r="D5" s="12">
        <f t="shared" si="1"/>
        <v>50000</v>
      </c>
    </row>
    <row r="6" ht="14.25" customHeight="1">
      <c r="A6" s="6" t="s">
        <v>54</v>
      </c>
      <c r="B6" s="14">
        <f t="shared" ref="B6:D6" si="2">B5/12</f>
        <v>3333.333333</v>
      </c>
      <c r="C6" s="14">
        <f t="shared" si="2"/>
        <v>4166.666667</v>
      </c>
      <c r="D6" s="14">
        <f t="shared" si="2"/>
        <v>4166.666667</v>
      </c>
    </row>
    <row r="7" ht="14.25" customHeight="1"/>
    <row r="8" ht="14.25" customHeight="1"/>
    <row r="9" ht="14.25" customHeight="1"/>
    <row r="10" ht="14.25" customHeight="1"/>
    <row r="11" ht="14.25" customHeight="1"/>
    <row r="12" ht="14.25" customHeight="1">
      <c r="A12" s="6" t="s">
        <v>55</v>
      </c>
      <c r="B12" s="6">
        <v>520000.0</v>
      </c>
      <c r="C12" s="6">
        <v>520000.0</v>
      </c>
      <c r="D12" s="6">
        <v>520000.0</v>
      </c>
    </row>
    <row r="13" ht="14.25" customHeight="1">
      <c r="A13" s="6" t="s">
        <v>56</v>
      </c>
      <c r="B13" s="6">
        <v>0.05</v>
      </c>
      <c r="C13" s="6">
        <v>0.04</v>
      </c>
      <c r="D13" s="6">
        <v>0.04</v>
      </c>
    </row>
    <row r="14" ht="14.25" customHeight="1">
      <c r="A14" s="6" t="s">
        <v>57</v>
      </c>
      <c r="B14" s="6">
        <v>20.0</v>
      </c>
      <c r="C14" s="6">
        <v>20.0</v>
      </c>
      <c r="D14" s="6">
        <v>20.0</v>
      </c>
    </row>
    <row r="15" ht="14.25" customHeight="1">
      <c r="A15" s="6" t="s">
        <v>58</v>
      </c>
      <c r="B15" s="14">
        <f t="shared" ref="B15:D15" si="3">PMT(B13/12,B14*12,B12)</f>
        <v>-3431.769844</v>
      </c>
      <c r="C15" s="14">
        <f t="shared" si="3"/>
        <v>-3151.097712</v>
      </c>
      <c r="D15" s="14">
        <f t="shared" si="3"/>
        <v>-3151.097712</v>
      </c>
    </row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0"/>
    <col customWidth="1" min="2" max="3" width="8.71"/>
    <col customWidth="1" min="4" max="4" width="11.57"/>
    <col customWidth="1" min="5" max="5" width="12.71"/>
    <col customWidth="1" min="6" max="6" width="13.14"/>
    <col customWidth="1" min="7" max="7" width="9.57"/>
    <col customWidth="1" min="8" max="26" width="8.71"/>
  </cols>
  <sheetData>
    <row r="1" ht="14.25" customHeight="1">
      <c r="A1" s="6" t="s">
        <v>59</v>
      </c>
      <c r="B1" s="6" t="s">
        <v>60</v>
      </c>
      <c r="C1" s="6" t="s">
        <v>61</v>
      </c>
      <c r="D1" s="6" t="s">
        <v>12</v>
      </c>
      <c r="E1" s="6" t="s">
        <v>62</v>
      </c>
      <c r="F1" s="6" t="s">
        <v>63</v>
      </c>
    </row>
    <row r="2" ht="14.25" customHeight="1">
      <c r="A2" s="6" t="s">
        <v>64</v>
      </c>
      <c r="B2" s="1" t="s">
        <v>65</v>
      </c>
      <c r="C2" s="15">
        <v>50000.0</v>
      </c>
      <c r="D2" s="15">
        <f>C2</f>
        <v>50000</v>
      </c>
      <c r="E2" s="16">
        <f t="shared" ref="E2:E5" si="1">D2*0.25</f>
        <v>12500</v>
      </c>
      <c r="F2" s="10"/>
    </row>
    <row r="3" ht="14.25" customHeight="1">
      <c r="A3" s="6" t="s">
        <v>66</v>
      </c>
      <c r="B3" s="1">
        <v>2080.0</v>
      </c>
      <c r="C3" s="16">
        <v>17.0</v>
      </c>
      <c r="D3" s="16">
        <f t="shared" ref="D3:D6" si="2">B3*C3</f>
        <v>35360</v>
      </c>
      <c r="E3" s="16">
        <f t="shared" si="1"/>
        <v>8840</v>
      </c>
      <c r="F3" s="10">
        <v>0.03</v>
      </c>
      <c r="G3" s="14"/>
    </row>
    <row r="4" ht="14.25" customHeight="1">
      <c r="A4" s="6" t="s">
        <v>67</v>
      </c>
      <c r="B4" s="1">
        <v>2080.0</v>
      </c>
      <c r="C4" s="16">
        <v>17.0</v>
      </c>
      <c r="D4" s="16">
        <f t="shared" si="2"/>
        <v>35360</v>
      </c>
      <c r="E4" s="16">
        <f t="shared" si="1"/>
        <v>8840</v>
      </c>
      <c r="F4" s="10">
        <v>0.02</v>
      </c>
      <c r="G4" s="14"/>
    </row>
    <row r="5" ht="14.25" customHeight="1">
      <c r="A5" s="6" t="s">
        <v>68</v>
      </c>
      <c r="B5" s="1">
        <v>2080.0</v>
      </c>
      <c r="C5" s="16">
        <v>17.0</v>
      </c>
      <c r="D5" s="16">
        <f t="shared" si="2"/>
        <v>35360</v>
      </c>
      <c r="E5" s="16">
        <f t="shared" si="1"/>
        <v>8840</v>
      </c>
      <c r="F5" s="10">
        <v>0.02</v>
      </c>
      <c r="G5" s="14"/>
      <c r="I5" s="6" t="s">
        <v>69</v>
      </c>
    </row>
    <row r="6" ht="14.25" customHeight="1">
      <c r="A6" s="6" t="s">
        <v>70</v>
      </c>
      <c r="B6" s="1">
        <f>(20*8)*52</f>
        <v>8320</v>
      </c>
      <c r="C6" s="16">
        <v>8.0</v>
      </c>
      <c r="D6" s="16">
        <f t="shared" si="2"/>
        <v>66560</v>
      </c>
      <c r="E6" s="1" t="s">
        <v>71</v>
      </c>
      <c r="F6" s="10">
        <v>0.01</v>
      </c>
      <c r="G6" s="14"/>
    </row>
    <row r="7" ht="14.25" customHeight="1"/>
    <row r="8" ht="14.25" customHeight="1">
      <c r="A8" s="6" t="s">
        <v>12</v>
      </c>
      <c r="D8" s="12">
        <f t="shared" ref="D8:E8" si="3">SUM(D2:D7)</f>
        <v>222640</v>
      </c>
      <c r="E8" s="12">
        <f t="shared" si="3"/>
        <v>39020</v>
      </c>
    </row>
    <row r="9" ht="14.25" customHeight="1"/>
    <row r="10" ht="14.25" customHeight="1">
      <c r="A10" s="6" t="s">
        <v>72</v>
      </c>
      <c r="E10" s="12">
        <f>D8+E8</f>
        <v>261660</v>
      </c>
    </row>
    <row r="11" ht="14.25" customHeight="1">
      <c r="A11" s="6" t="s">
        <v>73</v>
      </c>
      <c r="E11" s="11">
        <f>'Cash Flow'!N4*0.1</f>
        <v>338629.2237</v>
      </c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43"/>
    <col customWidth="1" min="2" max="26" width="8.71"/>
  </cols>
  <sheetData>
    <row r="1" ht="14.25" customHeight="1">
      <c r="A1" s="6" t="s">
        <v>74</v>
      </c>
      <c r="B1" s="6" t="s">
        <v>61</v>
      </c>
      <c r="C1" s="6" t="s">
        <v>75</v>
      </c>
      <c r="D1" s="6" t="s">
        <v>12</v>
      </c>
    </row>
    <row r="2" ht="14.25" customHeight="1">
      <c r="A2" s="6" t="s">
        <v>76</v>
      </c>
      <c r="B2" s="12">
        <v>250.0</v>
      </c>
      <c r="C2" s="6">
        <v>26.0</v>
      </c>
      <c r="D2" s="12">
        <f t="shared" ref="D2:D6" si="1">B2*C2</f>
        <v>6500</v>
      </c>
    </row>
    <row r="3" ht="14.25" customHeight="1">
      <c r="A3" s="6" t="s">
        <v>77</v>
      </c>
      <c r="D3" s="12">
        <f t="shared" si="1"/>
        <v>0</v>
      </c>
    </row>
    <row r="4" ht="14.25" customHeight="1">
      <c r="A4" s="6" t="s">
        <v>78</v>
      </c>
      <c r="B4" s="12">
        <v>100.0</v>
      </c>
      <c r="C4" s="6">
        <v>52.0</v>
      </c>
      <c r="D4" s="12">
        <f t="shared" si="1"/>
        <v>5200</v>
      </c>
    </row>
    <row r="5" ht="14.25" customHeight="1">
      <c r="A5" s="6" t="s">
        <v>79</v>
      </c>
      <c r="B5" s="12">
        <v>0.0</v>
      </c>
      <c r="C5" s="6">
        <v>24.0</v>
      </c>
      <c r="D5" s="12">
        <f t="shared" si="1"/>
        <v>0</v>
      </c>
    </row>
    <row r="6" ht="14.25" customHeight="1">
      <c r="A6" s="6" t="s">
        <v>80</v>
      </c>
      <c r="B6" s="12">
        <v>300.0</v>
      </c>
      <c r="C6" s="6">
        <v>52.0</v>
      </c>
      <c r="D6" s="12">
        <f t="shared" si="1"/>
        <v>15600</v>
      </c>
    </row>
    <row r="7" ht="14.25" customHeight="1"/>
    <row r="8" ht="14.25" customHeight="1">
      <c r="A8" s="6" t="s">
        <v>12</v>
      </c>
      <c r="D8" s="12">
        <f>SUM(D2:D7)</f>
        <v>27300</v>
      </c>
      <c r="E8" s="14">
        <f>D8/'Cash Flow'!N4</f>
        <v>0.008061914946</v>
      </c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29"/>
    <col customWidth="1" min="2" max="2" width="10.14"/>
    <col customWidth="1" min="3" max="26" width="8.71"/>
  </cols>
  <sheetData>
    <row r="1" ht="14.25" customHeight="1">
      <c r="A1" s="6" t="s">
        <v>81</v>
      </c>
      <c r="B1" s="6" t="s">
        <v>61</v>
      </c>
    </row>
    <row r="2" ht="14.25" customHeight="1">
      <c r="A2" s="6" t="s">
        <v>82</v>
      </c>
      <c r="B2" s="12">
        <v>10000.0</v>
      </c>
    </row>
    <row r="3" ht="14.25" customHeight="1">
      <c r="A3" s="6" t="s">
        <v>83</v>
      </c>
      <c r="B3" s="12">
        <v>10000.0</v>
      </c>
    </row>
    <row r="4" ht="14.25" customHeight="1">
      <c r="A4" s="6" t="s">
        <v>84</v>
      </c>
      <c r="B4" s="17">
        <f>0.1*'Salaries &amp; Benefits'!D8</f>
        <v>22264</v>
      </c>
    </row>
    <row r="5" ht="14.25" customHeight="1">
      <c r="A5" s="6" t="s">
        <v>85</v>
      </c>
      <c r="B5" s="17">
        <v>10000.0</v>
      </c>
    </row>
    <row r="6" ht="14.25" customHeight="1"/>
    <row r="7" ht="14.25" customHeight="1">
      <c r="A7" s="6" t="s">
        <v>12</v>
      </c>
      <c r="B7" s="12">
        <f>SUM(B2:B6)</f>
        <v>52264</v>
      </c>
    </row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57"/>
    <col customWidth="1" min="2" max="2" width="12.0"/>
    <col customWidth="1" min="3" max="3" width="10.71"/>
    <col customWidth="1" min="4" max="26" width="8.71"/>
  </cols>
  <sheetData>
    <row r="1" ht="14.25" customHeight="1">
      <c r="A1" s="6" t="s">
        <v>86</v>
      </c>
      <c r="B1" s="6" t="s">
        <v>87</v>
      </c>
      <c r="C1" s="6" t="s">
        <v>88</v>
      </c>
    </row>
    <row r="2" ht="14.25" customHeight="1">
      <c r="A2" s="6" t="s">
        <v>89</v>
      </c>
      <c r="B2" s="12">
        <v>421.0</v>
      </c>
      <c r="C2" s="12">
        <f t="shared" ref="C2:C5" si="1">B2*12</f>
        <v>5052</v>
      </c>
      <c r="F2" s="6" t="s">
        <v>90</v>
      </c>
    </row>
    <row r="3" ht="14.25" customHeight="1">
      <c r="A3" s="6" t="s">
        <v>91</v>
      </c>
      <c r="B3" s="12">
        <v>6000.0</v>
      </c>
      <c r="C3" s="12">
        <f t="shared" si="1"/>
        <v>72000</v>
      </c>
    </row>
    <row r="4" ht="14.25" customHeight="1">
      <c r="A4" s="6" t="s">
        <v>92</v>
      </c>
      <c r="B4" s="12">
        <v>1000.0</v>
      </c>
      <c r="C4" s="12">
        <f t="shared" si="1"/>
        <v>12000</v>
      </c>
    </row>
    <row r="5" ht="14.25" customHeight="1">
      <c r="A5" s="6" t="s">
        <v>93</v>
      </c>
      <c r="B5" s="12">
        <v>154.0</v>
      </c>
      <c r="C5" s="12">
        <f t="shared" si="1"/>
        <v>1848</v>
      </c>
    </row>
    <row r="6" ht="14.25" customHeight="1">
      <c r="A6" s="6" t="s">
        <v>12</v>
      </c>
      <c r="B6" s="12">
        <f t="shared" ref="B6:C6" si="2">SUM(B2:B5)</f>
        <v>7575</v>
      </c>
      <c r="C6" s="12">
        <f t="shared" si="2"/>
        <v>90900</v>
      </c>
      <c r="D6" s="14">
        <f>C6/'Cash Flow'!N4</f>
        <v>0.026843519</v>
      </c>
    </row>
    <row r="7" ht="14.25" customHeight="1"/>
    <row r="8" ht="14.25" customHeight="1">
      <c r="A8" s="6" t="s">
        <v>94</v>
      </c>
      <c r="C8" s="6">
        <f>'Cash Flow'!N4*0.04</f>
        <v>135451.6895</v>
      </c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9.57"/>
    <col customWidth="1" min="3" max="26" width="8.71"/>
  </cols>
  <sheetData>
    <row r="1" ht="14.25" customHeight="1">
      <c r="A1" s="6" t="s">
        <v>28</v>
      </c>
      <c r="B1" s="6" t="s">
        <v>61</v>
      </c>
    </row>
    <row r="2" ht="14.25" customHeight="1">
      <c r="A2" s="6" t="s">
        <v>95</v>
      </c>
      <c r="C2" s="6" t="s">
        <v>96</v>
      </c>
    </row>
    <row r="3" ht="14.25" customHeight="1">
      <c r="A3" s="6" t="s">
        <v>97</v>
      </c>
      <c r="B3" s="17">
        <f>0.15*'Salaries &amp; Benefits'!E10</f>
        <v>39249</v>
      </c>
      <c r="F3" s="6" t="s">
        <v>98</v>
      </c>
    </row>
    <row r="4" ht="14.25" customHeight="1"/>
    <row r="5" ht="14.25" customHeight="1">
      <c r="A5" s="6" t="s">
        <v>12</v>
      </c>
      <c r="B5" s="17">
        <f>SUM(B2:B4)</f>
        <v>39249</v>
      </c>
    </row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86"/>
    <col customWidth="1" min="2" max="2" width="9.43"/>
    <col customWidth="1" min="3" max="3" width="8.71"/>
    <col customWidth="1" min="4" max="4" width="12.71"/>
    <col customWidth="1" min="5" max="5" width="13.0"/>
    <col customWidth="1" min="6" max="26" width="8.71"/>
  </cols>
  <sheetData>
    <row r="1" ht="14.25" customHeight="1">
      <c r="A1" s="6" t="s">
        <v>20</v>
      </c>
      <c r="B1" s="6" t="s">
        <v>61</v>
      </c>
      <c r="C1" s="6" t="s">
        <v>99</v>
      </c>
      <c r="D1" s="6" t="s">
        <v>100</v>
      </c>
      <c r="E1" s="6" t="s">
        <v>101</v>
      </c>
    </row>
    <row r="2" ht="14.25" customHeight="1">
      <c r="A2" s="6" t="s">
        <v>102</v>
      </c>
      <c r="B2" s="14"/>
      <c r="D2" s="14">
        <v>50.0</v>
      </c>
      <c r="E2" s="14">
        <f>D2*52</f>
        <v>2600</v>
      </c>
    </row>
    <row r="3" ht="14.25" customHeight="1"/>
    <row r="4" ht="14.25" customHeight="1">
      <c r="A4" s="6" t="s">
        <v>12</v>
      </c>
      <c r="E4" s="14">
        <f>SUM(E2)</f>
        <v>2600</v>
      </c>
    </row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2015-11-10T15:18:10Z</dcterms:created>
  <dc:creator>Bontrager, Chad</dc:creator>
</cp:coreProperties>
</file>